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achon\Desktop\ASTRO\"/>
    </mc:Choice>
  </mc:AlternateContent>
  <xr:revisionPtr revIDLastSave="0" documentId="8_{3439CA8B-EAAC-4B2B-B3EE-5A9986616740}" xr6:coauthVersionLast="47" xr6:coauthVersionMax="47" xr10:uidLastSave="{00000000-0000-0000-0000-000000000000}"/>
  <bookViews>
    <workbookView xWindow="-120" yWindow="-120" windowWidth="29040" windowHeight="15840" tabRatio="925" xr2:uid="{5C967087-112D-4AC7-BB1D-1D6A4D52CB9B}"/>
  </bookViews>
  <sheets>
    <sheet name="Summary" sheetId="25" r:id="rId1"/>
    <sheet name="Live Output Detail" sheetId="14" r:id="rId2"/>
    <sheet name="Balanced Output Detail" sheetId="12" r:id="rId3"/>
    <sheet name="Base &gt;&gt;" sheetId="13" state="hidden" r:id="rId4"/>
    <sheet name="Base Output Fx" sheetId="1" state="hidden" r:id="rId5"/>
    <sheet name="Demand scenarios" sheetId="10" state="hidden" r:id="rId6"/>
    <sheet name="77427 data" sheetId="9" state="hidden" r:id="rId7"/>
    <sheet name="RO Exit Scenarios" sheetId="8" state="hidden" r:id="rId8"/>
    <sheet name="RVU scenarios" sheetId="5" state="hidden" r:id="rId9"/>
    <sheet name="Dropdowns" sheetId="4" state="hidden" r:id="rId10"/>
    <sheet name="Regional data" sheetId="6" state="hidden" r:id="rId11"/>
    <sheet name="Region Adjust" sheetId="11" state="hidden" r:id="rId12"/>
    <sheet name="Public source data" sheetId="2" state="hidden" r:id="rId13"/>
    <sheet name="Live &gt;&gt;" sheetId="15" state="hidden" r:id="rId14"/>
    <sheet name="Live Output Fx" sheetId="16" state="hidden" r:id="rId15"/>
    <sheet name="Demand Scenarios (L)" sheetId="17" state="hidden" r:id="rId16"/>
    <sheet name="77427 data (L)" sheetId="18" state="hidden" r:id="rId17"/>
    <sheet name="RO Exit Scenarios (L)" sheetId="19" state="hidden" r:id="rId18"/>
    <sheet name="RVU scenarios (L)" sheetId="20" state="hidden" r:id="rId19"/>
    <sheet name="Dropdowns (L)" sheetId="21" state="hidden" r:id="rId20"/>
    <sheet name="Regional data (L)" sheetId="22" state="hidden" r:id="rId21"/>
    <sheet name="Region adjust (L)" sheetId="23" state="hidden" r:id="rId22"/>
    <sheet name="Public source data (L)" sheetId="24" state="hidden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25" l="1"/>
  <c r="H3" i="14"/>
  <c r="D16" i="14"/>
  <c r="D17" i="14"/>
  <c r="D18" i="14"/>
  <c r="D19" i="14"/>
  <c r="D13" i="14"/>
  <c r="D14" i="14"/>
  <c r="D15" i="14"/>
  <c r="D12" i="14"/>
  <c r="D9" i="14"/>
  <c r="D8" i="14"/>
  <c r="E64" i="25" l="1"/>
  <c r="E63" i="25"/>
  <c r="E62" i="25"/>
  <c r="D63" i="25"/>
  <c r="F63" i="25" s="1"/>
  <c r="E59" i="25"/>
  <c r="E57" i="25"/>
  <c r="D58" i="25"/>
  <c r="F58" i="25" s="1"/>
  <c r="E11" i="25"/>
  <c r="F11" i="25" s="1"/>
  <c r="E12" i="25"/>
  <c r="F12" i="25" s="1"/>
  <c r="E13" i="25"/>
  <c r="F13" i="25" s="1"/>
  <c r="E14" i="25"/>
  <c r="F14" i="25" s="1"/>
  <c r="E15" i="25"/>
  <c r="F15" i="25" s="1"/>
  <c r="E16" i="25"/>
  <c r="E17" i="25"/>
  <c r="F17" i="25" s="1"/>
  <c r="E10" i="25"/>
  <c r="F10" i="25" s="1"/>
  <c r="E6" i="25"/>
  <c r="F6" i="25" s="1"/>
  <c r="E7" i="25"/>
  <c r="F7" i="25" s="1"/>
  <c r="E3" i="25"/>
  <c r="F3" i="25"/>
  <c r="H2" i="24" l="1"/>
  <c r="H3" i="24"/>
  <c r="B7" i="24"/>
  <c r="B8" i="24" s="1"/>
  <c r="E7" i="24"/>
  <c r="E8" i="24" s="1"/>
  <c r="F7" i="24"/>
  <c r="F8" i="24" s="1"/>
  <c r="I7" i="24"/>
  <c r="C8" i="24"/>
  <c r="G8" i="24"/>
  <c r="I8" i="24"/>
  <c r="B13" i="24"/>
  <c r="C13" i="24"/>
  <c r="B14" i="24"/>
  <c r="B15" i="24"/>
  <c r="B16" i="24"/>
  <c r="C16" i="24"/>
  <c r="C18" i="24" s="1"/>
  <c r="D16" i="24"/>
  <c r="E16" i="24"/>
  <c r="F16" i="24"/>
  <c r="F18" i="24" s="1"/>
  <c r="G16" i="24"/>
  <c r="H16" i="24" s="1"/>
  <c r="I16" i="24" s="1"/>
  <c r="J16" i="24" s="1"/>
  <c r="K16" i="24" s="1"/>
  <c r="B17" i="24"/>
  <c r="C17" i="24"/>
  <c r="D17" i="24"/>
  <c r="E17" i="24"/>
  <c r="F17" i="24"/>
  <c r="G17" i="24"/>
  <c r="B18" i="24"/>
  <c r="D18" i="24"/>
  <c r="E18" i="24"/>
  <c r="G13" i="22"/>
  <c r="G14" i="22"/>
  <c r="G15" i="22"/>
  <c r="C18" i="22"/>
  <c r="D18" i="22"/>
  <c r="E18" i="22"/>
  <c r="G18" i="22" s="1"/>
  <c r="C19" i="22"/>
  <c r="E19" i="22" s="1"/>
  <c r="G19" i="22" s="1"/>
  <c r="H19" i="22" s="1"/>
  <c r="I19" i="22" s="1"/>
  <c r="D19" i="22"/>
  <c r="C20" i="22"/>
  <c r="D20" i="22"/>
  <c r="E20" i="22"/>
  <c r="G20" i="22" s="1"/>
  <c r="H20" i="22" s="1"/>
  <c r="I20" i="22" s="1"/>
  <c r="C21" i="22"/>
  <c r="E21" i="22" s="1"/>
  <c r="G21" i="22" s="1"/>
  <c r="H21" i="22" s="1"/>
  <c r="I21" i="22" s="1"/>
  <c r="D21" i="22"/>
  <c r="C22" i="22"/>
  <c r="D22" i="22"/>
  <c r="E22" i="22"/>
  <c r="G22" i="22" s="1"/>
  <c r="C23" i="22"/>
  <c r="D23" i="22"/>
  <c r="C24" i="22"/>
  <c r="D24" i="22"/>
  <c r="E24" i="22"/>
  <c r="G24" i="22"/>
  <c r="C25" i="22"/>
  <c r="E25" i="22" s="1"/>
  <c r="G25" i="22" s="1"/>
  <c r="H25" i="22" s="1"/>
  <c r="I25" i="22" s="1"/>
  <c r="D25" i="22"/>
  <c r="C26" i="22"/>
  <c r="D26" i="22"/>
  <c r="E26" i="22"/>
  <c r="G26" i="22" s="1"/>
  <c r="C27" i="22"/>
  <c r="E27" i="22" s="1"/>
  <c r="G27" i="22" s="1"/>
  <c r="D27" i="22"/>
  <c r="I27" i="22"/>
  <c r="H45" i="22"/>
  <c r="I45" i="22"/>
  <c r="H46" i="22"/>
  <c r="I46" i="22" s="1"/>
  <c r="H47" i="22"/>
  <c r="I47" i="22" s="1"/>
  <c r="H48" i="22"/>
  <c r="H49" i="22"/>
  <c r="I49" i="22" s="1"/>
  <c r="H50" i="22"/>
  <c r="I50" i="22" s="1"/>
  <c r="H51" i="22"/>
  <c r="I51" i="22" s="1"/>
  <c r="H52" i="22"/>
  <c r="H53" i="22"/>
  <c r="I53" i="22" s="1"/>
  <c r="H54" i="22"/>
  <c r="I48" i="22" s="1"/>
  <c r="D5" i="19"/>
  <c r="E5" i="19"/>
  <c r="F5" i="19"/>
  <c r="G5" i="19"/>
  <c r="J6" i="19"/>
  <c r="L6" i="19"/>
  <c r="G8" i="19"/>
  <c r="E3" i="18"/>
  <c r="F3" i="18"/>
  <c r="F9" i="18" s="1"/>
  <c r="G3" i="18"/>
  <c r="G9" i="18" s="1"/>
  <c r="H3" i="18"/>
  <c r="E4" i="18"/>
  <c r="F4" i="18"/>
  <c r="G4" i="18"/>
  <c r="H4" i="18"/>
  <c r="E5" i="18"/>
  <c r="F5" i="18"/>
  <c r="F11" i="18" s="1"/>
  <c r="G5" i="18"/>
  <c r="H5" i="18"/>
  <c r="E6" i="18"/>
  <c r="F6" i="18"/>
  <c r="G6" i="18"/>
  <c r="C12" i="18" s="1"/>
  <c r="H6" i="18"/>
  <c r="B9" i="18"/>
  <c r="J9" i="18" s="1"/>
  <c r="J15" i="18" s="1"/>
  <c r="C9" i="18"/>
  <c r="D9" i="18"/>
  <c r="H9" i="18"/>
  <c r="I9" i="18"/>
  <c r="K9" i="18"/>
  <c r="K15" i="18" s="1"/>
  <c r="B10" i="18"/>
  <c r="G10" i="18" s="1"/>
  <c r="C10" i="18"/>
  <c r="D10" i="18"/>
  <c r="B11" i="18"/>
  <c r="I11" i="18" s="1"/>
  <c r="I17" i="18" s="1"/>
  <c r="D11" i="18"/>
  <c r="J11" i="18"/>
  <c r="J17" i="18" s="1"/>
  <c r="K11" i="18"/>
  <c r="K17" i="18" s="1"/>
  <c r="B12" i="18"/>
  <c r="H12" i="18" s="1"/>
  <c r="D12" i="18"/>
  <c r="I12" i="18"/>
  <c r="H15" i="18"/>
  <c r="I15" i="18"/>
  <c r="H16" i="18"/>
  <c r="H17" i="18"/>
  <c r="H18" i="18"/>
  <c r="I18" i="18"/>
  <c r="D22" i="18"/>
  <c r="D23" i="18"/>
  <c r="B30" i="18"/>
  <c r="B8" i="17"/>
  <c r="C8" i="17"/>
  <c r="D8" i="17"/>
  <c r="E8" i="17"/>
  <c r="F8" i="17"/>
  <c r="B13" i="17"/>
  <c r="C13" i="17"/>
  <c r="D13" i="17"/>
  <c r="E13" i="17"/>
  <c r="F13" i="17"/>
  <c r="T13" i="17"/>
  <c r="T15" i="17"/>
  <c r="T16" i="17" s="1"/>
  <c r="J88" i="17"/>
  <c r="K88" i="17"/>
  <c r="M88" i="17"/>
  <c r="N88" i="17"/>
  <c r="P88" i="17"/>
  <c r="Q88" i="17"/>
  <c r="H88" i="17" s="1"/>
  <c r="Q107" i="17"/>
  <c r="H107" i="17" s="1"/>
  <c r="I107" i="17" s="1"/>
  <c r="J107" i="17" s="1"/>
  <c r="K107" i="17" s="1"/>
  <c r="L107" i="17" s="1"/>
  <c r="M107" i="17" s="1"/>
  <c r="N107" i="17" s="1"/>
  <c r="O107" i="17" s="1"/>
  <c r="P107" i="17" s="1"/>
  <c r="H108" i="17"/>
  <c r="I108" i="17" s="1"/>
  <c r="J108" i="17" s="1"/>
  <c r="K108" i="17" s="1"/>
  <c r="L108" i="17" s="1"/>
  <c r="M108" i="17" s="1"/>
  <c r="N108" i="17" s="1"/>
  <c r="O108" i="17" s="1"/>
  <c r="P108" i="17" s="1"/>
  <c r="Q108" i="17"/>
  <c r="Q109" i="17"/>
  <c r="H109" i="17" s="1"/>
  <c r="I109" i="17" s="1"/>
  <c r="J109" i="17" s="1"/>
  <c r="K109" i="17" s="1"/>
  <c r="L109" i="17" s="1"/>
  <c r="M109" i="17" s="1"/>
  <c r="N109" i="17" s="1"/>
  <c r="O109" i="17" s="1"/>
  <c r="P109" i="17" s="1"/>
  <c r="H110" i="17"/>
  <c r="I110" i="17" s="1"/>
  <c r="J110" i="17" s="1"/>
  <c r="K110" i="17" s="1"/>
  <c r="L110" i="17" s="1"/>
  <c r="M110" i="17" s="1"/>
  <c r="N110" i="17" s="1"/>
  <c r="O110" i="17" s="1"/>
  <c r="P110" i="17" s="1"/>
  <c r="Q110" i="17"/>
  <c r="B123" i="17"/>
  <c r="B133" i="17"/>
  <c r="B134" i="17" s="1"/>
  <c r="B135" i="17" s="1"/>
  <c r="E6" i="16"/>
  <c r="R12" i="16" s="1"/>
  <c r="AQ58" i="14" s="1"/>
  <c r="K7" i="16"/>
  <c r="M7" i="16"/>
  <c r="Q12" i="16"/>
  <c r="J15" i="16"/>
  <c r="D16" i="16"/>
  <c r="E16" i="16"/>
  <c r="F16" i="16"/>
  <c r="G16" i="16"/>
  <c r="H16" i="16"/>
  <c r="C37" i="18" s="1"/>
  <c r="H22" i="16"/>
  <c r="B2" i="17" s="1"/>
  <c r="D27" i="16"/>
  <c r="D26" i="16" s="1"/>
  <c r="J27" i="16"/>
  <c r="D28" i="16"/>
  <c r="E26" i="16" s="1"/>
  <c r="J28" i="16"/>
  <c r="J29" i="16"/>
  <c r="D31" i="16"/>
  <c r="D32" i="16"/>
  <c r="D33" i="16"/>
  <c r="D34" i="16"/>
  <c r="D35" i="16"/>
  <c r="D49" i="16" s="1"/>
  <c r="D36" i="16"/>
  <c r="D51" i="16" s="1"/>
  <c r="D37" i="16"/>
  <c r="D52" i="16" s="1"/>
  <c r="D38" i="16"/>
  <c r="D50" i="16" s="1"/>
  <c r="D7" i="14"/>
  <c r="E7" i="14"/>
  <c r="D52" i="14"/>
  <c r="E52" i="14"/>
  <c r="D53" i="14"/>
  <c r="E53" i="14"/>
  <c r="F53" i="14"/>
  <c r="G53" i="14"/>
  <c r="H53" i="14"/>
  <c r="I53" i="14"/>
  <c r="K53" i="14"/>
  <c r="M53" i="14"/>
  <c r="D54" i="14"/>
  <c r="E54" i="14"/>
  <c r="F54" i="14"/>
  <c r="G54" i="14"/>
  <c r="H54" i="14"/>
  <c r="I54" i="14"/>
  <c r="AP56" i="14"/>
  <c r="AQ56" i="14"/>
  <c r="AR56" i="14"/>
  <c r="AS56" i="14"/>
  <c r="AT56" i="14"/>
  <c r="AU56" i="14"/>
  <c r="AV56" i="14"/>
  <c r="AW56" i="14"/>
  <c r="AX56" i="14"/>
  <c r="AY56" i="14"/>
  <c r="AZ56" i="14"/>
  <c r="BA56" i="14"/>
  <c r="BB56" i="14"/>
  <c r="BC56" i="14"/>
  <c r="BD56" i="14"/>
  <c r="BE56" i="14"/>
  <c r="AP58" i="14"/>
  <c r="D61" i="14"/>
  <c r="J61" i="14" s="1"/>
  <c r="E61" i="14"/>
  <c r="F61" i="14"/>
  <c r="G61" i="14"/>
  <c r="H61" i="14"/>
  <c r="D62" i="14"/>
  <c r="J62" i="14" s="1"/>
  <c r="E62" i="14"/>
  <c r="F62" i="14"/>
  <c r="G62" i="14"/>
  <c r="H62" i="14"/>
  <c r="F68" i="14"/>
  <c r="F69" i="14"/>
  <c r="F70" i="14"/>
  <c r="D94" i="14"/>
  <c r="D95" i="14"/>
  <c r="D96" i="14"/>
  <c r="T9" i="16" l="1"/>
  <c r="AS55" i="14" s="1"/>
  <c r="Q9" i="16"/>
  <c r="AP55" i="14" s="1"/>
  <c r="S9" i="16"/>
  <c r="AR55" i="14" s="1"/>
  <c r="R9" i="16"/>
  <c r="AQ55" i="14" s="1"/>
  <c r="H19" i="16"/>
  <c r="J7" i="19"/>
  <c r="K8" i="16" s="1"/>
  <c r="K54" i="14" s="1"/>
  <c r="D59" i="25" s="1"/>
  <c r="F59" i="25" s="1"/>
  <c r="L7" i="19"/>
  <c r="M8" i="16" s="1"/>
  <c r="M54" i="14" s="1"/>
  <c r="D64" i="25" s="1"/>
  <c r="F64" i="25" s="1"/>
  <c r="K105" i="17"/>
  <c r="N105" i="17"/>
  <c r="M105" i="17"/>
  <c r="O105" i="17"/>
  <c r="P105" i="17"/>
  <c r="G105" i="17"/>
  <c r="Q105" i="17"/>
  <c r="H105" i="17"/>
  <c r="I105" i="17"/>
  <c r="J105" i="17"/>
  <c r="L105" i="17"/>
  <c r="K10" i="18"/>
  <c r="K16" i="18" s="1"/>
  <c r="C11" i="18"/>
  <c r="G11" i="18"/>
  <c r="H5" i="19"/>
  <c r="G9" i="19"/>
  <c r="H18" i="22"/>
  <c r="I18" i="22" s="1"/>
  <c r="G30" i="22"/>
  <c r="B12" i="20"/>
  <c r="C12" i="20" s="1"/>
  <c r="D12" i="20" s="1"/>
  <c r="E12" i="20" s="1"/>
  <c r="F12" i="20" s="1"/>
  <c r="G12" i="20" s="1"/>
  <c r="H12" i="20" s="1"/>
  <c r="I12" i="20" s="1"/>
  <c r="J12" i="20" s="1"/>
  <c r="K12" i="20" s="1"/>
  <c r="L12" i="20" s="1"/>
  <c r="M12" i="20" s="1"/>
  <c r="N12" i="20" s="1"/>
  <c r="O12" i="20" s="1"/>
  <c r="P12" i="20" s="1"/>
  <c r="Q12" i="20" s="1"/>
  <c r="Q15" i="20"/>
  <c r="C2" i="17"/>
  <c r="E2" i="17"/>
  <c r="F2" i="17"/>
  <c r="J16" i="16"/>
  <c r="E23" i="22"/>
  <c r="G23" i="22" s="1"/>
  <c r="C35" i="18"/>
  <c r="C36" i="18"/>
  <c r="U9" i="16"/>
  <c r="U8" i="16"/>
  <c r="F6" i="16"/>
  <c r="F3" i="17"/>
  <c r="C34" i="18"/>
  <c r="H22" i="22"/>
  <c r="I22" i="22" s="1"/>
  <c r="G29" i="22"/>
  <c r="L32" i="17"/>
  <c r="T8" i="16"/>
  <c r="AS54" i="14" s="1"/>
  <c r="E3" i="17"/>
  <c r="H10" i="18"/>
  <c r="I10" i="18"/>
  <c r="I16" i="18" s="1"/>
  <c r="J10" i="18"/>
  <c r="J16" i="18" s="1"/>
  <c r="H24" i="22"/>
  <c r="I24" i="22" s="1"/>
  <c r="L17" i="24"/>
  <c r="M17" i="24"/>
  <c r="L16" i="24"/>
  <c r="M16" i="24" s="1"/>
  <c r="M18" i="24" s="1"/>
  <c r="S8" i="16"/>
  <c r="AR54" i="14" s="1"/>
  <c r="I88" i="17"/>
  <c r="D3" i="17"/>
  <c r="C38" i="18"/>
  <c r="I19" i="18"/>
  <c r="F12" i="18"/>
  <c r="F10" i="18"/>
  <c r="Q16" i="20"/>
  <c r="H26" i="22"/>
  <c r="I26" i="22" s="1"/>
  <c r="R8" i="16"/>
  <c r="AQ54" i="14" s="1"/>
  <c r="Q32" i="17"/>
  <c r="K12" i="18"/>
  <c r="K18" i="18" s="1"/>
  <c r="K19" i="18" s="1"/>
  <c r="Q8" i="16"/>
  <c r="AP54" i="14" s="1"/>
  <c r="L88" i="17"/>
  <c r="O88" i="17"/>
  <c r="B3" i="17"/>
  <c r="C3" i="17"/>
  <c r="D2" i="17"/>
  <c r="J12" i="18"/>
  <c r="J18" i="18" s="1"/>
  <c r="J19" i="18" s="1"/>
  <c r="H11" i="18"/>
  <c r="G18" i="24"/>
  <c r="I52" i="22"/>
  <c r="G12" i="18"/>
  <c r="K8" i="24"/>
  <c r="D7" i="24"/>
  <c r="D8" i="24" s="1"/>
  <c r="D32" i="1"/>
  <c r="D33" i="1"/>
  <c r="D34" i="1"/>
  <c r="D35" i="1"/>
  <c r="D36" i="1"/>
  <c r="D37" i="1"/>
  <c r="D38" i="1"/>
  <c r="D31" i="1"/>
  <c r="D28" i="1"/>
  <c r="D27" i="1"/>
  <c r="D7" i="12"/>
  <c r="H22" i="1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BE56" i="12"/>
  <c r="AQ58" i="12"/>
  <c r="AR58" i="12"/>
  <c r="AS58" i="12"/>
  <c r="AT58" i="12"/>
  <c r="AU58" i="12"/>
  <c r="AP56" i="12"/>
  <c r="AP58" i="12"/>
  <c r="E61" i="12"/>
  <c r="F61" i="12"/>
  <c r="G61" i="12"/>
  <c r="H61" i="12"/>
  <c r="E62" i="12"/>
  <c r="F62" i="12"/>
  <c r="G62" i="12"/>
  <c r="H62" i="12"/>
  <c r="D62" i="12"/>
  <c r="D61" i="12"/>
  <c r="M53" i="12"/>
  <c r="K53" i="12"/>
  <c r="E52" i="12"/>
  <c r="F52" i="12"/>
  <c r="G52" i="12"/>
  <c r="H52" i="12"/>
  <c r="I52" i="12"/>
  <c r="E53" i="12"/>
  <c r="F53" i="12"/>
  <c r="G53" i="12"/>
  <c r="H53" i="12"/>
  <c r="I53" i="12"/>
  <c r="E54" i="12"/>
  <c r="F54" i="12"/>
  <c r="G54" i="12"/>
  <c r="H54" i="12"/>
  <c r="I54" i="12"/>
  <c r="D53" i="12"/>
  <c r="D54" i="12"/>
  <c r="D52" i="12"/>
  <c r="D96" i="12"/>
  <c r="D95" i="12"/>
  <c r="D94" i="12"/>
  <c r="F70" i="12"/>
  <c r="F69" i="12"/>
  <c r="F68" i="12"/>
  <c r="J61" i="12"/>
  <c r="E7" i="12"/>
  <c r="F6" i="20" l="1"/>
  <c r="H65" i="14"/>
  <c r="S12" i="16"/>
  <c r="AR58" i="14" s="1"/>
  <c r="G6" i="16"/>
  <c r="F52" i="14"/>
  <c r="AT54" i="14"/>
  <c r="L23" i="16"/>
  <c r="L24" i="16"/>
  <c r="AT55" i="14"/>
  <c r="H8" i="19"/>
  <c r="J5" i="19"/>
  <c r="H9" i="19"/>
  <c r="L18" i="24"/>
  <c r="G28" i="22"/>
  <c r="H23" i="22"/>
  <c r="I23" i="22" s="1"/>
  <c r="J62" i="12"/>
  <c r="F13" i="20" l="1"/>
  <c r="F16" i="20"/>
  <c r="T12" i="16"/>
  <c r="AS58" i="14" s="1"/>
  <c r="H6" i="16"/>
  <c r="G52" i="14"/>
  <c r="L69" i="14"/>
  <c r="L70" i="14"/>
  <c r="J8" i="19"/>
  <c r="L5" i="19"/>
  <c r="L8" i="19" s="1"/>
  <c r="I46" i="6"/>
  <c r="I47" i="6"/>
  <c r="I48" i="6"/>
  <c r="I49" i="6"/>
  <c r="I50" i="6"/>
  <c r="I51" i="6"/>
  <c r="I52" i="6"/>
  <c r="I53" i="6"/>
  <c r="I45" i="6"/>
  <c r="I19" i="6"/>
  <c r="I20" i="6"/>
  <c r="I21" i="6"/>
  <c r="I22" i="6"/>
  <c r="I23" i="6"/>
  <c r="I24" i="6"/>
  <c r="I25" i="6"/>
  <c r="I26" i="6"/>
  <c r="I27" i="6"/>
  <c r="I18" i="6"/>
  <c r="H46" i="6"/>
  <c r="H47" i="6"/>
  <c r="H48" i="6"/>
  <c r="H49" i="6"/>
  <c r="H50" i="6"/>
  <c r="H51" i="6"/>
  <c r="H52" i="6"/>
  <c r="H53" i="6"/>
  <c r="H54" i="6"/>
  <c r="H45" i="6"/>
  <c r="H19" i="6"/>
  <c r="H20" i="6"/>
  <c r="H21" i="6"/>
  <c r="H22" i="6"/>
  <c r="H23" i="6"/>
  <c r="H24" i="6"/>
  <c r="H25" i="6"/>
  <c r="H26" i="6"/>
  <c r="H18" i="6"/>
  <c r="E18" i="6"/>
  <c r="G18" i="6"/>
  <c r="R16" i="20" l="1"/>
  <c r="G16" i="20" s="1"/>
  <c r="F14" i="20"/>
  <c r="F2" i="20" s="1"/>
  <c r="F15" i="20"/>
  <c r="R15" i="20" s="1"/>
  <c r="G15" i="20" s="1"/>
  <c r="H15" i="20" s="1"/>
  <c r="I15" i="20" s="1"/>
  <c r="J15" i="20" s="1"/>
  <c r="K15" i="20" s="1"/>
  <c r="L15" i="20" s="1"/>
  <c r="M15" i="20" s="1"/>
  <c r="N15" i="20" s="1"/>
  <c r="O15" i="20" s="1"/>
  <c r="P15" i="20" s="1"/>
  <c r="F15" i="17"/>
  <c r="H17" i="16"/>
  <c r="H52" i="14"/>
  <c r="U12" i="16"/>
  <c r="AT58" i="14" s="1"/>
  <c r="F10" i="17"/>
  <c r="I6" i="16"/>
  <c r="H24" i="16"/>
  <c r="K16" i="2"/>
  <c r="M16" i="2"/>
  <c r="H16" i="2"/>
  <c r="I16" i="2" s="1"/>
  <c r="J16" i="2" s="1"/>
  <c r="G28" i="6"/>
  <c r="U13" i="16" l="1"/>
  <c r="AT59" i="14" s="1"/>
  <c r="U6" i="16"/>
  <c r="AT52" i="14" s="1"/>
  <c r="H16" i="20"/>
  <c r="H18" i="16"/>
  <c r="U11" i="16"/>
  <c r="D17" i="16"/>
  <c r="E17" i="16"/>
  <c r="F17" i="16"/>
  <c r="G17" i="16"/>
  <c r="H63" i="14"/>
  <c r="D15" i="17"/>
  <c r="B10" i="17"/>
  <c r="B5" i="17" s="1"/>
  <c r="C10" i="17"/>
  <c r="C5" i="17" s="1"/>
  <c r="D10" i="17"/>
  <c r="D5" i="17" s="1"/>
  <c r="F5" i="17"/>
  <c r="B15" i="17"/>
  <c r="C15" i="17"/>
  <c r="E10" i="17"/>
  <c r="E5" i="17" s="1"/>
  <c r="E15" i="17"/>
  <c r="J6" i="16"/>
  <c r="K6" i="16"/>
  <c r="I52" i="14"/>
  <c r="V12" i="16"/>
  <c r="AU58" i="14" s="1"/>
  <c r="C17" i="2"/>
  <c r="D17" i="2"/>
  <c r="E17" i="2"/>
  <c r="F17" i="2"/>
  <c r="G17" i="2" s="1"/>
  <c r="B17" i="2"/>
  <c r="C13" i="2"/>
  <c r="C16" i="2"/>
  <c r="C18" i="2" s="1"/>
  <c r="D16" i="2"/>
  <c r="E16" i="2"/>
  <c r="E18" i="2" s="1"/>
  <c r="F16" i="2"/>
  <c r="B16" i="2"/>
  <c r="B18" i="2" s="1"/>
  <c r="B14" i="2"/>
  <c r="B13" i="2"/>
  <c r="H3" i="2"/>
  <c r="H2" i="2"/>
  <c r="I16" i="20" l="1"/>
  <c r="M6" i="16"/>
  <c r="AA12" i="16"/>
  <c r="K52" i="14"/>
  <c r="D57" i="25" s="1"/>
  <c r="F57" i="25" s="1"/>
  <c r="S11" i="16"/>
  <c r="AR57" i="14" s="1"/>
  <c r="F63" i="14"/>
  <c r="F18" i="16"/>
  <c r="R11" i="16"/>
  <c r="AQ57" i="14" s="1"/>
  <c r="E18" i="16"/>
  <c r="E63" i="14"/>
  <c r="L25" i="16"/>
  <c r="AT57" i="14"/>
  <c r="T11" i="16"/>
  <c r="AS57" i="14" s="1"/>
  <c r="G63" i="14"/>
  <c r="G18" i="16"/>
  <c r="Q11" i="16"/>
  <c r="AP57" i="14" s="1"/>
  <c r="D18" i="16"/>
  <c r="I17" i="16" s="1"/>
  <c r="D63" i="14"/>
  <c r="U7" i="16"/>
  <c r="H64" i="14"/>
  <c r="F18" i="2"/>
  <c r="D18" i="2"/>
  <c r="L17" i="2"/>
  <c r="M17" i="2" s="1"/>
  <c r="G16" i="2"/>
  <c r="L16" i="2" s="1"/>
  <c r="L18" i="2" s="1"/>
  <c r="B15" i="2"/>
  <c r="J16" i="20" l="1"/>
  <c r="AT53" i="14"/>
  <c r="U16" i="16"/>
  <c r="F19" i="16"/>
  <c r="S7" i="16"/>
  <c r="AR53" i="14" s="1"/>
  <c r="F64" i="14"/>
  <c r="D31" i="18"/>
  <c r="K29" i="16"/>
  <c r="L71" i="14"/>
  <c r="K28" i="16"/>
  <c r="K27" i="16"/>
  <c r="D19" i="16"/>
  <c r="Q7" i="16"/>
  <c r="D64" i="14"/>
  <c r="E19" i="16"/>
  <c r="R7" i="16"/>
  <c r="AQ53" i="14" s="1"/>
  <c r="E64" i="14"/>
  <c r="AA4" i="16"/>
  <c r="W12" i="16"/>
  <c r="X12" i="16" s="1"/>
  <c r="Y12" i="16" s="1"/>
  <c r="AZ58" i="14"/>
  <c r="T7" i="16"/>
  <c r="AS53" i="14" s="1"/>
  <c r="G19" i="16"/>
  <c r="G64" i="14"/>
  <c r="AF12" i="16"/>
  <c r="M52" i="14"/>
  <c r="D62" i="25" s="1"/>
  <c r="F62" i="25" s="1"/>
  <c r="M18" i="2"/>
  <c r="G18" i="2"/>
  <c r="K16" i="20" l="1"/>
  <c r="AX58" i="14"/>
  <c r="Z12" i="16"/>
  <c r="G70" i="14"/>
  <c r="G69" i="14"/>
  <c r="G68" i="14"/>
  <c r="E27" i="18"/>
  <c r="E30" i="18"/>
  <c r="E28" i="18"/>
  <c r="E26" i="18"/>
  <c r="E31" i="18"/>
  <c r="E29" i="18"/>
  <c r="AW58" i="14"/>
  <c r="AV58" i="14"/>
  <c r="AP53" i="14"/>
  <c r="E6" i="20"/>
  <c r="G65" i="14"/>
  <c r="AB12" i="16"/>
  <c r="BE58" i="14"/>
  <c r="C6" i="20"/>
  <c r="E65" i="14"/>
  <c r="B6" i="20"/>
  <c r="D65" i="14"/>
  <c r="I19" i="16"/>
  <c r="I18" i="16"/>
  <c r="D6" i="20"/>
  <c r="F65" i="14"/>
  <c r="Q15" i="5"/>
  <c r="L16" i="20" l="1"/>
  <c r="G29" i="18"/>
  <c r="F29" i="18"/>
  <c r="BA58" i="14"/>
  <c r="G27" i="18"/>
  <c r="F27" i="18"/>
  <c r="D35" i="18" s="1"/>
  <c r="C16" i="20"/>
  <c r="C13" i="20"/>
  <c r="E13" i="20"/>
  <c r="E16" i="20"/>
  <c r="AY58" i="14"/>
  <c r="B13" i="20"/>
  <c r="B16" i="20"/>
  <c r="H6" i="20"/>
  <c r="G30" i="18"/>
  <c r="F30" i="18"/>
  <c r="F26" i="18"/>
  <c r="G26" i="18"/>
  <c r="D13" i="20"/>
  <c r="D16" i="20"/>
  <c r="G31" i="18"/>
  <c r="F31" i="18"/>
  <c r="B136" i="17" s="1"/>
  <c r="AC12" i="16"/>
  <c r="F28" i="18"/>
  <c r="G28" i="18"/>
  <c r="B133" i="10"/>
  <c r="B134" i="10"/>
  <c r="B135" i="10" s="1"/>
  <c r="M16" i="20" l="1"/>
  <c r="B139" i="17"/>
  <c r="Q102" i="17" s="1"/>
  <c r="B140" i="17"/>
  <c r="Q103" i="17" s="1"/>
  <c r="B138" i="17"/>
  <c r="Q101" i="17" s="1"/>
  <c r="B14" i="20"/>
  <c r="B15" i="20"/>
  <c r="C15" i="20"/>
  <c r="C2" i="20" s="1"/>
  <c r="R13" i="16" s="1"/>
  <c r="AQ59" i="14" s="1"/>
  <c r="C14" i="20"/>
  <c r="D14" i="20"/>
  <c r="D15" i="20"/>
  <c r="D2" i="20" s="1"/>
  <c r="S13" i="16" s="1"/>
  <c r="AR59" i="14" s="1"/>
  <c r="C117" i="17"/>
  <c r="C119" i="17" s="1"/>
  <c r="D34" i="18"/>
  <c r="E34" i="18" s="1"/>
  <c r="G13" i="20"/>
  <c r="I6" i="20"/>
  <c r="B117" i="17"/>
  <c r="B119" i="17" s="1"/>
  <c r="D117" i="17"/>
  <c r="D119" i="17" s="1"/>
  <c r="D36" i="18"/>
  <c r="E36" i="18" s="1"/>
  <c r="E117" i="17"/>
  <c r="E119" i="17" s="1"/>
  <c r="B124" i="17"/>
  <c r="B126" i="17" s="1"/>
  <c r="D37" i="18"/>
  <c r="E37" i="18" s="1"/>
  <c r="BB58" i="14"/>
  <c r="AD12" i="16"/>
  <c r="F117" i="17"/>
  <c r="D38" i="18"/>
  <c r="E38" i="18" s="1"/>
  <c r="E14" i="20"/>
  <c r="E15" i="20"/>
  <c r="B123" i="10"/>
  <c r="D52" i="1"/>
  <c r="T15" i="10"/>
  <c r="T16" i="10" s="1"/>
  <c r="T13" i="10"/>
  <c r="E2" i="20" l="1"/>
  <c r="T13" i="16" s="1"/>
  <c r="AS59" i="14" s="1"/>
  <c r="B2" i="20"/>
  <c r="Q6" i="16" s="1"/>
  <c r="V27" i="16" s="1"/>
  <c r="AC27" i="16" s="1"/>
  <c r="S6" i="16"/>
  <c r="AR52" i="14" s="1"/>
  <c r="R6" i="16"/>
  <c r="AQ52" i="14" s="1"/>
  <c r="H13" i="20"/>
  <c r="N16" i="20"/>
  <c r="G38" i="18"/>
  <c r="H38" i="18"/>
  <c r="I38" i="18"/>
  <c r="F38" i="18"/>
  <c r="J38" i="18"/>
  <c r="K38" i="18"/>
  <c r="G126" i="17"/>
  <c r="G128" i="17"/>
  <c r="G127" i="17"/>
  <c r="K6" i="20"/>
  <c r="Q13" i="20" s="1"/>
  <c r="L13" i="20"/>
  <c r="J34" i="18"/>
  <c r="F34" i="18"/>
  <c r="K34" i="18"/>
  <c r="G34" i="18"/>
  <c r="H34" i="18"/>
  <c r="I34" i="18"/>
  <c r="G36" i="18"/>
  <c r="I36" i="18"/>
  <c r="J36" i="18"/>
  <c r="K36" i="18"/>
  <c r="F36" i="18"/>
  <c r="H36" i="18"/>
  <c r="BC58" i="14"/>
  <c r="AE12" i="16"/>
  <c r="F37" i="18"/>
  <c r="H37" i="18"/>
  <c r="I37" i="18"/>
  <c r="J37" i="18"/>
  <c r="G37" i="18"/>
  <c r="K37" i="18"/>
  <c r="N103" i="17"/>
  <c r="I103" i="17"/>
  <c r="M103" i="17"/>
  <c r="O103" i="17"/>
  <c r="P103" i="17"/>
  <c r="H103" i="17"/>
  <c r="J103" i="17"/>
  <c r="K103" i="17"/>
  <c r="L103" i="17"/>
  <c r="Q100" i="17"/>
  <c r="J101" i="17"/>
  <c r="M101" i="17"/>
  <c r="L101" i="17"/>
  <c r="N101" i="17"/>
  <c r="O101" i="17"/>
  <c r="P101" i="17"/>
  <c r="H101" i="17"/>
  <c r="I101" i="17"/>
  <c r="K101" i="17"/>
  <c r="Q97" i="17"/>
  <c r="Q96" i="17"/>
  <c r="Q95" i="17"/>
  <c r="F126" i="17"/>
  <c r="F128" i="17"/>
  <c r="F127" i="17"/>
  <c r="H127" i="17"/>
  <c r="H126" i="17"/>
  <c r="H128" i="17"/>
  <c r="H102" i="17"/>
  <c r="P102" i="17"/>
  <c r="K102" i="17"/>
  <c r="M102" i="17"/>
  <c r="N102" i="17"/>
  <c r="O102" i="17"/>
  <c r="I102" i="17"/>
  <c r="J102" i="17"/>
  <c r="L102" i="17"/>
  <c r="C2" i="10"/>
  <c r="D2" i="10"/>
  <c r="E2" i="10"/>
  <c r="F2" i="10"/>
  <c r="B2" i="10"/>
  <c r="H100" i="17" l="1"/>
  <c r="T6" i="16"/>
  <c r="AS52" i="14" s="1"/>
  <c r="J100" i="17"/>
  <c r="Q13" i="16"/>
  <c r="AP59" i="14" s="1"/>
  <c r="L100" i="17"/>
  <c r="N100" i="17"/>
  <c r="K100" i="17"/>
  <c r="P100" i="17"/>
  <c r="O100" i="17"/>
  <c r="M100" i="17"/>
  <c r="I100" i="17"/>
  <c r="AP52" i="14"/>
  <c r="AU73" i="14" s="1"/>
  <c r="D22" i="25" s="1"/>
  <c r="M13" i="20"/>
  <c r="Q14" i="20"/>
  <c r="R14" i="20" s="1"/>
  <c r="G14" i="20" s="1"/>
  <c r="Q2" i="20"/>
  <c r="I13" i="20"/>
  <c r="O16" i="20"/>
  <c r="L56" i="17"/>
  <c r="L48" i="17"/>
  <c r="L52" i="17"/>
  <c r="Q81" i="17"/>
  <c r="Q77" i="17"/>
  <c r="Q85" i="17"/>
  <c r="L44" i="17"/>
  <c r="L40" i="17"/>
  <c r="L36" i="17"/>
  <c r="J95" i="17"/>
  <c r="M95" i="17"/>
  <c r="I95" i="17"/>
  <c r="K95" i="17"/>
  <c r="L95" i="17"/>
  <c r="N95" i="17"/>
  <c r="O95" i="17"/>
  <c r="P95" i="17"/>
  <c r="H95" i="17"/>
  <c r="Q69" i="17"/>
  <c r="Q61" i="17"/>
  <c r="Q65" i="17"/>
  <c r="Q54" i="17"/>
  <c r="Q50" i="17"/>
  <c r="Q58" i="17"/>
  <c r="L39" i="17"/>
  <c r="L35" i="17"/>
  <c r="L43" i="17"/>
  <c r="Q76" i="17"/>
  <c r="Q84" i="17"/>
  <c r="Q80" i="17"/>
  <c r="L62" i="17"/>
  <c r="L70" i="17"/>
  <c r="L66" i="17"/>
  <c r="Q45" i="17"/>
  <c r="Q37" i="17"/>
  <c r="Q41" i="17"/>
  <c r="N97" i="17"/>
  <c r="I97" i="17"/>
  <c r="K97" i="17"/>
  <c r="L97" i="17"/>
  <c r="M97" i="17"/>
  <c r="O97" i="17"/>
  <c r="P97" i="17"/>
  <c r="H97" i="17"/>
  <c r="J97" i="17"/>
  <c r="Q94" i="17"/>
  <c r="L67" i="17"/>
  <c r="L63" i="17"/>
  <c r="L71" i="17"/>
  <c r="Q57" i="17"/>
  <c r="Q53" i="17"/>
  <c r="Q49" i="17"/>
  <c r="Q40" i="17"/>
  <c r="Q44" i="17"/>
  <c r="Q36" i="17"/>
  <c r="L75" i="17"/>
  <c r="L79" i="17"/>
  <c r="L83" i="17"/>
  <c r="Q63" i="17"/>
  <c r="Q71" i="17"/>
  <c r="Q67" i="17"/>
  <c r="L50" i="17"/>
  <c r="L54" i="17"/>
  <c r="L58" i="17"/>
  <c r="Q62" i="17"/>
  <c r="Q70" i="17"/>
  <c r="Q66" i="17"/>
  <c r="L69" i="17"/>
  <c r="L65" i="17"/>
  <c r="L61" i="17"/>
  <c r="Q52" i="17"/>
  <c r="Q48" i="17"/>
  <c r="Q56" i="17"/>
  <c r="Q79" i="17"/>
  <c r="Q75" i="17"/>
  <c r="Q83" i="17"/>
  <c r="L49" i="17"/>
  <c r="L57" i="17"/>
  <c r="L53" i="17"/>
  <c r="L85" i="17"/>
  <c r="L81" i="17"/>
  <c r="L77" i="17"/>
  <c r="L45" i="17"/>
  <c r="L41" i="17"/>
  <c r="L37" i="17"/>
  <c r="H96" i="17"/>
  <c r="P96" i="17"/>
  <c r="K96" i="17"/>
  <c r="J96" i="17"/>
  <c r="L96" i="17"/>
  <c r="M96" i="17"/>
  <c r="N96" i="17"/>
  <c r="O96" i="17"/>
  <c r="I96" i="17"/>
  <c r="BD58" i="14"/>
  <c r="Q35" i="17"/>
  <c r="Q43" i="17"/>
  <c r="Q39" i="17"/>
  <c r="L80" i="17"/>
  <c r="L76" i="17"/>
  <c r="L84" i="17"/>
  <c r="Q88" i="10"/>
  <c r="Q26" i="17" l="1"/>
  <c r="L19" i="17"/>
  <c r="L25" i="17"/>
  <c r="L18" i="17"/>
  <c r="J94" i="17"/>
  <c r="Q24" i="17"/>
  <c r="P94" i="17"/>
  <c r="N94" i="17"/>
  <c r="O94" i="17"/>
  <c r="M94" i="17"/>
  <c r="I94" i="17"/>
  <c r="H94" i="17"/>
  <c r="L94" i="17"/>
  <c r="K94" i="17"/>
  <c r="L26" i="17"/>
  <c r="L22" i="17"/>
  <c r="Q21" i="17"/>
  <c r="L21" i="17"/>
  <c r="Q22" i="17"/>
  <c r="Q25" i="17"/>
  <c r="Q27" i="17"/>
  <c r="Q29" i="17"/>
  <c r="Q18" i="17"/>
  <c r="L27" i="17"/>
  <c r="Q20" i="17"/>
  <c r="H14" i="20"/>
  <c r="G2" i="20"/>
  <c r="Q28" i="17"/>
  <c r="L28" i="17"/>
  <c r="Q19" i="17"/>
  <c r="L20" i="17"/>
  <c r="L29" i="17"/>
  <c r="L23" i="17"/>
  <c r="L24" i="17"/>
  <c r="Q23" i="17"/>
  <c r="AF13" i="16"/>
  <c r="AF6" i="16"/>
  <c r="BE52" i="14" s="1"/>
  <c r="J13" i="20"/>
  <c r="N13" i="20"/>
  <c r="P16" i="20"/>
  <c r="K19" i="9"/>
  <c r="J19" i="9"/>
  <c r="I19" i="9"/>
  <c r="L12" i="17" l="1"/>
  <c r="G12" i="17" s="1"/>
  <c r="Q12" i="17"/>
  <c r="L15" i="17"/>
  <c r="G15" i="17" s="1"/>
  <c r="H15" i="17" s="1"/>
  <c r="L13" i="17"/>
  <c r="G13" i="17" s="1"/>
  <c r="H13" i="17" s="1"/>
  <c r="Q15" i="17"/>
  <c r="Q13" i="17"/>
  <c r="V6" i="16"/>
  <c r="AU52" i="14" s="1"/>
  <c r="V13" i="16"/>
  <c r="AU59" i="14" s="1"/>
  <c r="I14" i="20"/>
  <c r="H2" i="20"/>
  <c r="K13" i="20"/>
  <c r="O13" i="20"/>
  <c r="BE59" i="14"/>
  <c r="AB28" i="16"/>
  <c r="AF15" i="16"/>
  <c r="AG13" i="16"/>
  <c r="T6" i="17" s="1"/>
  <c r="G132" i="17"/>
  <c r="H132" i="17"/>
  <c r="H131" i="17"/>
  <c r="G131" i="17"/>
  <c r="F131" i="17"/>
  <c r="F130" i="17"/>
  <c r="F132" i="17"/>
  <c r="G130" i="17"/>
  <c r="H130" i="17"/>
  <c r="H16" i="9"/>
  <c r="H17" i="9"/>
  <c r="H18" i="9"/>
  <c r="H15" i="9"/>
  <c r="I16" i="9"/>
  <c r="J16" i="9"/>
  <c r="K16" i="9"/>
  <c r="I17" i="9"/>
  <c r="J17" i="9"/>
  <c r="K17" i="9"/>
  <c r="K18" i="9"/>
  <c r="K15" i="9"/>
  <c r="J15" i="9"/>
  <c r="I15" i="9"/>
  <c r="K9" i="9"/>
  <c r="M13" i="17" l="1"/>
  <c r="N13" i="17" s="1"/>
  <c r="O13" i="17" s="1"/>
  <c r="M12" i="17"/>
  <c r="N12" i="17" s="1"/>
  <c r="M15" i="17"/>
  <c r="N15" i="17" s="1"/>
  <c r="W13" i="16"/>
  <c r="AV59" i="14" s="1"/>
  <c r="W6" i="16"/>
  <c r="AV52" i="14" s="1"/>
  <c r="J14" i="20"/>
  <c r="I2" i="20"/>
  <c r="P13" i="20"/>
  <c r="G10" i="17"/>
  <c r="G5" i="17" s="1"/>
  <c r="V11" i="16" s="1"/>
  <c r="AU57" i="14" s="1"/>
  <c r="G8" i="17"/>
  <c r="G3" i="17" s="1"/>
  <c r="V9" i="16" s="1"/>
  <c r="AU55" i="14" s="1"/>
  <c r="I15" i="17"/>
  <c r="I13" i="17"/>
  <c r="H12" i="17"/>
  <c r="G7" i="17"/>
  <c r="G9" i="8"/>
  <c r="G8" i="8"/>
  <c r="H9" i="8"/>
  <c r="H8" i="8"/>
  <c r="X6" i="16" l="1"/>
  <c r="AW52" i="14" s="1"/>
  <c r="X13" i="16"/>
  <c r="AW59" i="14" s="1"/>
  <c r="K14" i="20"/>
  <c r="J2" i="20"/>
  <c r="O15" i="17"/>
  <c r="P13" i="17"/>
  <c r="I12" i="17"/>
  <c r="G2" i="17"/>
  <c r="V8" i="16" s="1"/>
  <c r="F115" i="17"/>
  <c r="F119" i="17" s="1"/>
  <c r="J15" i="17"/>
  <c r="O12" i="17"/>
  <c r="J13" i="17"/>
  <c r="G10" i="9"/>
  <c r="G11" i="9"/>
  <c r="I12" i="9"/>
  <c r="I18" i="9" s="1"/>
  <c r="J12" i="9"/>
  <c r="J18" i="9" s="1"/>
  <c r="K12" i="9"/>
  <c r="D12" i="9"/>
  <c r="B12" i="9"/>
  <c r="H6" i="9"/>
  <c r="H12" i="9" s="1"/>
  <c r="G6" i="9"/>
  <c r="G12" i="9" s="1"/>
  <c r="F6" i="9"/>
  <c r="F12" i="9" s="1"/>
  <c r="G5" i="9"/>
  <c r="E6" i="9"/>
  <c r="Y6" i="16" l="1"/>
  <c r="AX52" i="14" s="1"/>
  <c r="Y13" i="16"/>
  <c r="AX59" i="14" s="1"/>
  <c r="L14" i="20"/>
  <c r="K2" i="20"/>
  <c r="I127" i="17"/>
  <c r="I126" i="17"/>
  <c r="I128" i="17"/>
  <c r="K13" i="17"/>
  <c r="P12" i="17"/>
  <c r="V7" i="16"/>
  <c r="V16" i="16" s="1"/>
  <c r="AU54" i="14"/>
  <c r="J12" i="17"/>
  <c r="K15" i="17"/>
  <c r="P15" i="17"/>
  <c r="C12" i="9"/>
  <c r="J28" i="1"/>
  <c r="D51" i="1"/>
  <c r="D49" i="1"/>
  <c r="Z13" i="16" l="1"/>
  <c r="AY59" i="14" s="1"/>
  <c r="Z6" i="16"/>
  <c r="AY52" i="14" s="1"/>
  <c r="M14" i="20"/>
  <c r="L2" i="20"/>
  <c r="K12" i="17"/>
  <c r="I130" i="17"/>
  <c r="E126" i="17"/>
  <c r="Q89" i="17" s="1"/>
  <c r="I132" i="17"/>
  <c r="E128" i="17"/>
  <c r="Q91" i="17" s="1"/>
  <c r="AU53" i="14"/>
  <c r="AV73" i="14" s="1"/>
  <c r="D23" i="25" s="1"/>
  <c r="W27" i="16"/>
  <c r="AD27" i="16" s="1"/>
  <c r="I131" i="17"/>
  <c r="E127" i="17"/>
  <c r="Q90" i="17" s="1"/>
  <c r="D50" i="1"/>
  <c r="J15" i="1"/>
  <c r="Q109" i="10"/>
  <c r="H109" i="10" s="1"/>
  <c r="I109" i="10" s="1"/>
  <c r="J109" i="10" s="1"/>
  <c r="K109" i="10" s="1"/>
  <c r="L109" i="10" s="1"/>
  <c r="M109" i="10" s="1"/>
  <c r="N109" i="10" s="1"/>
  <c r="O109" i="10" s="1"/>
  <c r="P109" i="10" s="1"/>
  <c r="Q110" i="10"/>
  <c r="H110" i="10" s="1"/>
  <c r="Q108" i="10"/>
  <c r="H108" i="10" s="1"/>
  <c r="I108" i="10" s="1"/>
  <c r="J108" i="10" s="1"/>
  <c r="K108" i="10" s="1"/>
  <c r="L108" i="10" s="1"/>
  <c r="M108" i="10" s="1"/>
  <c r="N108" i="10" s="1"/>
  <c r="O108" i="10" s="1"/>
  <c r="P108" i="10" s="1"/>
  <c r="Q107" i="10"/>
  <c r="H107" i="10" s="1"/>
  <c r="B13" i="10"/>
  <c r="C13" i="10"/>
  <c r="D13" i="10"/>
  <c r="E13" i="10"/>
  <c r="F13" i="10"/>
  <c r="F8" i="10"/>
  <c r="F3" i="10" s="1"/>
  <c r="Q16" i="5"/>
  <c r="G30" i="6"/>
  <c r="G29" i="6"/>
  <c r="G27" i="6"/>
  <c r="E27" i="6"/>
  <c r="D27" i="6"/>
  <c r="C27" i="6"/>
  <c r="G13" i="6"/>
  <c r="G19" i="6"/>
  <c r="G20" i="6"/>
  <c r="G21" i="6"/>
  <c r="G22" i="6"/>
  <c r="G23" i="6"/>
  <c r="G24" i="6"/>
  <c r="G25" i="6"/>
  <c r="G26" i="6"/>
  <c r="E26" i="6"/>
  <c r="D26" i="6"/>
  <c r="C26" i="6"/>
  <c r="E25" i="6"/>
  <c r="D25" i="6"/>
  <c r="C25" i="6"/>
  <c r="E24" i="6"/>
  <c r="D24" i="6"/>
  <c r="D21" i="6"/>
  <c r="C21" i="6"/>
  <c r="E21" i="6" s="1"/>
  <c r="C24" i="6"/>
  <c r="E23" i="6"/>
  <c r="D23" i="6"/>
  <c r="C23" i="6"/>
  <c r="E22" i="6"/>
  <c r="D22" i="6"/>
  <c r="C22" i="6"/>
  <c r="E20" i="6"/>
  <c r="D20" i="6"/>
  <c r="C20" i="6"/>
  <c r="E19" i="6"/>
  <c r="D19" i="6"/>
  <c r="C19" i="6"/>
  <c r="D18" i="6"/>
  <c r="C18" i="6"/>
  <c r="AA13" i="16" l="1"/>
  <c r="AZ59" i="14" s="1"/>
  <c r="AA6" i="16"/>
  <c r="AZ52" i="14" s="1"/>
  <c r="N14" i="20"/>
  <c r="M2" i="20"/>
  <c r="H90" i="17"/>
  <c r="P90" i="17"/>
  <c r="K90" i="17"/>
  <c r="I90" i="17"/>
  <c r="J90" i="17"/>
  <c r="L90" i="17"/>
  <c r="M90" i="17"/>
  <c r="N90" i="17"/>
  <c r="O90" i="17"/>
  <c r="J89" i="17"/>
  <c r="M89" i="17"/>
  <c r="H89" i="17"/>
  <c r="I89" i="17"/>
  <c r="K89" i="17"/>
  <c r="L89" i="17"/>
  <c r="N89" i="17"/>
  <c r="O89" i="17"/>
  <c r="P89" i="17"/>
  <c r="N91" i="17"/>
  <c r="I91" i="17"/>
  <c r="I87" i="17" s="1"/>
  <c r="H91" i="17"/>
  <c r="J91" i="17"/>
  <c r="K91" i="17"/>
  <c r="L91" i="17"/>
  <c r="M91" i="17"/>
  <c r="O91" i="17"/>
  <c r="P91" i="17"/>
  <c r="Q87" i="17"/>
  <c r="H105" i="10"/>
  <c r="I110" i="10"/>
  <c r="J110" i="10" s="1"/>
  <c r="K110" i="10" s="1"/>
  <c r="L110" i="10" s="1"/>
  <c r="M110" i="10" s="1"/>
  <c r="N110" i="10" s="1"/>
  <c r="O110" i="10" s="1"/>
  <c r="P110" i="10" s="1"/>
  <c r="I107" i="10"/>
  <c r="J107" i="10" s="1"/>
  <c r="K107" i="10" s="1"/>
  <c r="L107" i="10" s="1"/>
  <c r="M107" i="10" s="1"/>
  <c r="N107" i="10" s="1"/>
  <c r="O107" i="10" s="1"/>
  <c r="P107" i="10" s="1"/>
  <c r="K105" i="10"/>
  <c r="I105" i="10"/>
  <c r="G105" i="10"/>
  <c r="P105" i="10"/>
  <c r="O105" i="10"/>
  <c r="Q105" i="10"/>
  <c r="J105" i="10"/>
  <c r="L105" i="10"/>
  <c r="L87" i="17" l="1"/>
  <c r="L8" i="17" s="1"/>
  <c r="AB13" i="16"/>
  <c r="BA59" i="14" s="1"/>
  <c r="AB6" i="16"/>
  <c r="BA52" i="14" s="1"/>
  <c r="O14" i="20"/>
  <c r="N2" i="20"/>
  <c r="J87" i="17"/>
  <c r="J8" i="17" s="1"/>
  <c r="J3" i="17" s="1"/>
  <c r="Y9" i="16" s="1"/>
  <c r="AX55" i="14" s="1"/>
  <c r="K87" i="17"/>
  <c r="K7" i="17" s="1"/>
  <c r="K2" i="17" s="1"/>
  <c r="Z8" i="16" s="1"/>
  <c r="O87" i="17"/>
  <c r="O8" i="17" s="1"/>
  <c r="O3" i="17" s="1"/>
  <c r="AD9" i="16" s="1"/>
  <c r="BC55" i="14" s="1"/>
  <c r="H87" i="17"/>
  <c r="H7" i="17" s="1"/>
  <c r="P87" i="17"/>
  <c r="P10" i="17" s="1"/>
  <c r="P5" i="17" s="1"/>
  <c r="AE11" i="16" s="1"/>
  <c r="BD57" i="14" s="1"/>
  <c r="N87" i="17"/>
  <c r="N10" i="17" s="1"/>
  <c r="N5" i="17" s="1"/>
  <c r="AC11" i="16" s="1"/>
  <c r="BB57" i="14" s="1"/>
  <c r="M87" i="17"/>
  <c r="M10" i="17" s="1"/>
  <c r="M5" i="17" s="1"/>
  <c r="AB11" i="16" s="1"/>
  <c r="BA57" i="14" s="1"/>
  <c r="Q10" i="17"/>
  <c r="Q8" i="17"/>
  <c r="Q7" i="17"/>
  <c r="I10" i="17"/>
  <c r="I5" i="17" s="1"/>
  <c r="X11" i="16" s="1"/>
  <c r="AW57" i="14" s="1"/>
  <c r="I8" i="17"/>
  <c r="I3" i="17" s="1"/>
  <c r="X9" i="16" s="1"/>
  <c r="AW55" i="14" s="1"/>
  <c r="I7" i="17"/>
  <c r="I2" i="17" s="1"/>
  <c r="X8" i="16" s="1"/>
  <c r="M105" i="10"/>
  <c r="N105" i="10"/>
  <c r="D9" i="9"/>
  <c r="Q8" i="1"/>
  <c r="AP54" i="12" s="1"/>
  <c r="C8" i="10"/>
  <c r="C3" i="10" s="1"/>
  <c r="D8" i="10"/>
  <c r="D3" i="10" s="1"/>
  <c r="E8" i="10"/>
  <c r="E3" i="10" s="1"/>
  <c r="B8" i="10"/>
  <c r="B3" i="10" s="1"/>
  <c r="D16" i="1"/>
  <c r="D23" i="9"/>
  <c r="D10" i="9"/>
  <c r="D11" i="9"/>
  <c r="E3" i="9"/>
  <c r="B30" i="9"/>
  <c r="L7" i="17" l="1"/>
  <c r="L2" i="17" s="1"/>
  <c r="AA8" i="16" s="1"/>
  <c r="L10" i="17"/>
  <c r="L5" i="17" s="1"/>
  <c r="AA11" i="16" s="1"/>
  <c r="AZ57" i="14" s="1"/>
  <c r="AC13" i="16"/>
  <c r="BB59" i="14" s="1"/>
  <c r="AC6" i="16"/>
  <c r="BB52" i="14" s="1"/>
  <c r="P14" i="20"/>
  <c r="P2" i="20" s="1"/>
  <c r="O2" i="20"/>
  <c r="J7" i="17"/>
  <c r="J2" i="17" s="1"/>
  <c r="Y8" i="16" s="1"/>
  <c r="AX54" i="14" s="1"/>
  <c r="J10" i="17"/>
  <c r="J5" i="17" s="1"/>
  <c r="Y11" i="16" s="1"/>
  <c r="AX57" i="14" s="1"/>
  <c r="K8" i="17"/>
  <c r="K3" i="17" s="1"/>
  <c r="Z9" i="16" s="1"/>
  <c r="AY55" i="14" s="1"/>
  <c r="K10" i="17"/>
  <c r="K5" i="17" s="1"/>
  <c r="Z11" i="16" s="1"/>
  <c r="AY57" i="14" s="1"/>
  <c r="M8" i="17"/>
  <c r="M3" i="17" s="1"/>
  <c r="AB9" i="16" s="1"/>
  <c r="BA55" i="14" s="1"/>
  <c r="O10" i="17"/>
  <c r="O5" i="17" s="1"/>
  <c r="AD11" i="16" s="1"/>
  <c r="BC57" i="14" s="1"/>
  <c r="O7" i="17"/>
  <c r="O2" i="17" s="1"/>
  <c r="AD8" i="16" s="1"/>
  <c r="BC54" i="14" s="1"/>
  <c r="M7" i="17"/>
  <c r="M2" i="17" s="1"/>
  <c r="AB8" i="16" s="1"/>
  <c r="H8" i="17"/>
  <c r="H3" i="17" s="1"/>
  <c r="W9" i="16" s="1"/>
  <c r="AV55" i="14" s="1"/>
  <c r="P8" i="17"/>
  <c r="P3" i="17" s="1"/>
  <c r="AE9" i="16" s="1"/>
  <c r="BD55" i="14" s="1"/>
  <c r="H10" i="17"/>
  <c r="H5" i="17" s="1"/>
  <c r="W11" i="16" s="1"/>
  <c r="AV57" i="14" s="1"/>
  <c r="P7" i="17"/>
  <c r="P2" i="17" s="1"/>
  <c r="AE8" i="16" s="1"/>
  <c r="BD54" i="14" s="1"/>
  <c r="N7" i="17"/>
  <c r="N2" i="17" s="1"/>
  <c r="AC8" i="16" s="1"/>
  <c r="N8" i="17"/>
  <c r="N3" i="17" s="1"/>
  <c r="AC9" i="16" s="1"/>
  <c r="BB55" i="14" s="1"/>
  <c r="Q5" i="17"/>
  <c r="AF11" i="16" s="1"/>
  <c r="BE57" i="14" s="1"/>
  <c r="M17" i="16"/>
  <c r="M63" i="14" s="1"/>
  <c r="D79" i="25" s="1"/>
  <c r="H2" i="17"/>
  <c r="W8" i="16" s="1"/>
  <c r="Q3" i="17"/>
  <c r="AF9" i="16" s="1"/>
  <c r="BE55" i="14" s="1"/>
  <c r="M16" i="16"/>
  <c r="M62" i="14" s="1"/>
  <c r="D78" i="25" s="1"/>
  <c r="X7" i="16"/>
  <c r="AW53" i="14" s="1"/>
  <c r="AW54" i="14"/>
  <c r="T3" i="17"/>
  <c r="T5" i="17"/>
  <c r="M15" i="16"/>
  <c r="Q2" i="17"/>
  <c r="AF8" i="16" s="1"/>
  <c r="AY54" i="14"/>
  <c r="L3" i="17"/>
  <c r="AA9" i="16" s="1"/>
  <c r="AZ55" i="14" s="1"/>
  <c r="K16" i="16"/>
  <c r="K62" i="14" s="1"/>
  <c r="D71" i="25" s="1"/>
  <c r="C11" i="9"/>
  <c r="K17" i="16" l="1"/>
  <c r="K63" i="14" s="1"/>
  <c r="D72" i="25" s="1"/>
  <c r="K15" i="16"/>
  <c r="AD6" i="16"/>
  <c r="BC52" i="14" s="1"/>
  <c r="AD13" i="16"/>
  <c r="BC59" i="14" s="1"/>
  <c r="AE6" i="16"/>
  <c r="BD52" i="14" s="1"/>
  <c r="AE13" i="16"/>
  <c r="BD59" i="14" s="1"/>
  <c r="Y7" i="16"/>
  <c r="AX53" i="14" s="1"/>
  <c r="Z7" i="16"/>
  <c r="AY53" i="14" s="1"/>
  <c r="AB7" i="16"/>
  <c r="BA53" i="14" s="1"/>
  <c r="AD7" i="16"/>
  <c r="BC53" i="14" s="1"/>
  <c r="T2" i="17"/>
  <c r="T4" i="17" s="1"/>
  <c r="BA54" i="14"/>
  <c r="AE7" i="16"/>
  <c r="BD53" i="14" s="1"/>
  <c r="AC7" i="16"/>
  <c r="BB53" i="14" s="1"/>
  <c r="BB54" i="14"/>
  <c r="X16" i="16"/>
  <c r="AA7" i="16"/>
  <c r="AZ54" i="14"/>
  <c r="M18" i="16"/>
  <c r="M61" i="14"/>
  <c r="D77" i="25" s="1"/>
  <c r="T8" i="17"/>
  <c r="T9" i="17" s="1"/>
  <c r="T7" i="17"/>
  <c r="W7" i="16"/>
  <c r="AV53" i="14" s="1"/>
  <c r="AV54" i="14"/>
  <c r="AF7" i="16"/>
  <c r="AF16" i="16" s="1"/>
  <c r="BE54" i="14"/>
  <c r="D22" i="9"/>
  <c r="B11" i="9"/>
  <c r="B10" i="9"/>
  <c r="B9" i="9"/>
  <c r="H5" i="9"/>
  <c r="F5" i="9"/>
  <c r="E5" i="9"/>
  <c r="H4" i="9"/>
  <c r="G4" i="9"/>
  <c r="F4" i="9"/>
  <c r="F10" i="9" s="1"/>
  <c r="E4" i="9"/>
  <c r="H3" i="9"/>
  <c r="H9" i="9" s="1"/>
  <c r="G3" i="9"/>
  <c r="F3" i="9"/>
  <c r="F9" i="9" s="1"/>
  <c r="K18" i="16" l="1"/>
  <c r="K64" i="14" s="1"/>
  <c r="D73" i="25" s="1"/>
  <c r="K61" i="14"/>
  <c r="D70" i="25" s="1"/>
  <c r="Y16" i="16"/>
  <c r="Z16" i="16"/>
  <c r="AB16" i="16"/>
  <c r="AC16" i="16"/>
  <c r="AD16" i="16"/>
  <c r="AE16" i="16"/>
  <c r="M19" i="16"/>
  <c r="M64" i="14"/>
  <c r="D80" i="25" s="1"/>
  <c r="W16" i="16"/>
  <c r="AA14" i="16"/>
  <c r="AZ53" i="14"/>
  <c r="X27" i="16"/>
  <c r="AF14" i="16"/>
  <c r="AJ7" i="16"/>
  <c r="BE53" i="14"/>
  <c r="Y27" i="16"/>
  <c r="AA16" i="16"/>
  <c r="H11" i="9"/>
  <c r="H10" i="9"/>
  <c r="F11" i="9"/>
  <c r="G9" i="9"/>
  <c r="C9" i="9"/>
  <c r="I9" i="9"/>
  <c r="J9" i="9"/>
  <c r="I10" i="9"/>
  <c r="J10" i="9"/>
  <c r="K10" i="9"/>
  <c r="J11" i="9"/>
  <c r="K11" i="9"/>
  <c r="I11" i="9"/>
  <c r="C10" i="9"/>
  <c r="E26" i="1"/>
  <c r="J7" i="8" s="1"/>
  <c r="J5" i="8" s="1"/>
  <c r="J8" i="8" s="1"/>
  <c r="L6" i="8"/>
  <c r="J6" i="8"/>
  <c r="D5" i="8"/>
  <c r="E5" i="8" s="1"/>
  <c r="F5" i="8" s="1"/>
  <c r="G5" i="8" s="1"/>
  <c r="H5" i="8" s="1"/>
  <c r="K19" i="16" l="1"/>
  <c r="K65" i="14" s="1"/>
  <c r="D74" i="25" s="1"/>
  <c r="AE27" i="16"/>
  <c r="AA28" i="16"/>
  <c r="AZ60" i="14"/>
  <c r="AW73" i="14"/>
  <c r="D24" i="25" s="1"/>
  <c r="BE60" i="14"/>
  <c r="AX73" i="14"/>
  <c r="D25" i="25" s="1"/>
  <c r="AA27" i="16"/>
  <c r="AF27" i="16"/>
  <c r="AG15" i="16" s="1"/>
  <c r="P19" i="16"/>
  <c r="M65" i="14"/>
  <c r="D81" i="25" s="1"/>
  <c r="L7" i="8"/>
  <c r="M8" i="1" s="1"/>
  <c r="M54" i="12" s="1"/>
  <c r="K8" i="1"/>
  <c r="K54" i="12" s="1"/>
  <c r="L5" i="8" l="1"/>
  <c r="L8" i="8" s="1"/>
  <c r="Q12" i="1" l="1"/>
  <c r="G15" i="6"/>
  <c r="G14" i="6"/>
  <c r="J29" i="1" l="1"/>
  <c r="J27" i="1"/>
  <c r="D26" i="1"/>
  <c r="B12" i="5"/>
  <c r="R8" i="1"/>
  <c r="AQ54" i="12" s="1"/>
  <c r="S8" i="1"/>
  <c r="AR54" i="12" s="1"/>
  <c r="T8" i="1"/>
  <c r="AS54" i="12" s="1"/>
  <c r="U8" i="1"/>
  <c r="AT54" i="12" s="1"/>
  <c r="M7" i="1"/>
  <c r="K7" i="1"/>
  <c r="L23" i="1" l="1"/>
  <c r="L69" i="12" s="1"/>
  <c r="C12" i="5"/>
  <c r="D12" i="5" l="1"/>
  <c r="E12" i="5" l="1"/>
  <c r="I7" i="2"/>
  <c r="I8" i="2" s="1"/>
  <c r="B7" i="2"/>
  <c r="B8" i="2" s="1"/>
  <c r="F7" i="2"/>
  <c r="E7" i="2" s="1"/>
  <c r="D7" i="2" s="1"/>
  <c r="D8" i="2" s="1"/>
  <c r="F16" i="1"/>
  <c r="S9" i="1" s="1"/>
  <c r="AR55" i="12" s="1"/>
  <c r="G16" i="1"/>
  <c r="T9" i="1" s="1"/>
  <c r="AS55" i="12" s="1"/>
  <c r="H16" i="1"/>
  <c r="J16" i="1" s="1"/>
  <c r="E16" i="1"/>
  <c r="R9" i="1" s="1"/>
  <c r="AQ55" i="12" s="1"/>
  <c r="F8" i="2" l="1"/>
  <c r="E8" i="2"/>
  <c r="C8" i="2"/>
  <c r="G8" i="2"/>
  <c r="K8" i="2"/>
  <c r="C34" i="9"/>
  <c r="C36" i="9"/>
  <c r="C37" i="9"/>
  <c r="C38" i="9"/>
  <c r="C35" i="9"/>
  <c r="U9" i="1"/>
  <c r="AT55" i="12" s="1"/>
  <c r="F12" i="5"/>
  <c r="Q9" i="1"/>
  <c r="AP55" i="12" s="1"/>
  <c r="E6" i="1"/>
  <c r="R12" i="1" s="1"/>
  <c r="L24" i="1" l="1"/>
  <c r="L70" i="12" s="1"/>
  <c r="L32" i="10"/>
  <c r="Q32" i="10"/>
  <c r="G12" i="5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F6" i="1"/>
  <c r="S12" i="1" l="1"/>
  <c r="G6" i="1"/>
  <c r="T12" i="1" s="1"/>
  <c r="H6" i="1"/>
  <c r="H24" i="1" s="1"/>
  <c r="F10" i="10" l="1"/>
  <c r="F5" i="10" s="1"/>
  <c r="F15" i="10"/>
  <c r="U12" i="1"/>
  <c r="I6" i="1"/>
  <c r="J6" i="1" l="1"/>
  <c r="V12" i="1"/>
  <c r="K6" i="1"/>
  <c r="B15" i="10"/>
  <c r="C15" i="10"/>
  <c r="E15" i="10"/>
  <c r="D15" i="10"/>
  <c r="E10" i="10"/>
  <c r="E5" i="10" s="1"/>
  <c r="C10" i="10"/>
  <c r="C5" i="10" s="1"/>
  <c r="B10" i="10"/>
  <c r="B5" i="10" s="1"/>
  <c r="D10" i="10"/>
  <c r="D5" i="10" s="1"/>
  <c r="H19" i="1"/>
  <c r="AA12" i="1" l="1"/>
  <c r="K52" i="12"/>
  <c r="H17" i="1"/>
  <c r="H65" i="12"/>
  <c r="M6" i="1"/>
  <c r="F6" i="5"/>
  <c r="F16" i="5" s="1"/>
  <c r="R16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AF12" i="1" l="1"/>
  <c r="M52" i="12"/>
  <c r="W12" i="1"/>
  <c r="AV58" i="12" s="1"/>
  <c r="AZ58" i="12"/>
  <c r="D17" i="1"/>
  <c r="D63" i="12" s="1"/>
  <c r="H63" i="12"/>
  <c r="F13" i="5"/>
  <c r="F15" i="5" s="1"/>
  <c r="R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U11" i="1"/>
  <c r="H18" i="1"/>
  <c r="H64" i="12" s="1"/>
  <c r="E17" i="1"/>
  <c r="F17" i="1"/>
  <c r="G17" i="1"/>
  <c r="D18" i="1" l="1"/>
  <c r="AB12" i="1"/>
  <c r="BE58" i="12"/>
  <c r="L25" i="1"/>
  <c r="K28" i="1" s="1"/>
  <c r="AT57" i="12"/>
  <c r="Q7" i="1"/>
  <c r="AP53" i="12" s="1"/>
  <c r="D64" i="12"/>
  <c r="R11" i="1"/>
  <c r="AQ57" i="12" s="1"/>
  <c r="E63" i="12"/>
  <c r="T11" i="1"/>
  <c r="AS57" i="12" s="1"/>
  <c r="G63" i="12"/>
  <c r="S11" i="1"/>
  <c r="AR57" i="12" s="1"/>
  <c r="F63" i="12"/>
  <c r="F14" i="5"/>
  <c r="I17" i="1"/>
  <c r="F2" i="5"/>
  <c r="U13" i="1" s="1"/>
  <c r="AT59" i="12" s="1"/>
  <c r="U7" i="1"/>
  <c r="Q11" i="1"/>
  <c r="AP57" i="12" s="1"/>
  <c r="G18" i="1"/>
  <c r="G64" i="12" s="1"/>
  <c r="D19" i="1"/>
  <c r="D65" i="12" s="1"/>
  <c r="F18" i="1"/>
  <c r="BA58" i="12" l="1"/>
  <c r="AC12" i="1"/>
  <c r="S7" i="1"/>
  <c r="AR53" i="12" s="1"/>
  <c r="F64" i="12"/>
  <c r="U16" i="1"/>
  <c r="AT53" i="12"/>
  <c r="D31" i="9"/>
  <c r="E29" i="9" s="1"/>
  <c r="L71" i="12"/>
  <c r="U6" i="1"/>
  <c r="AT52" i="12" s="1"/>
  <c r="I19" i="1"/>
  <c r="I18" i="1"/>
  <c r="G19" i="1"/>
  <c r="T7" i="1"/>
  <c r="AS53" i="12" s="1"/>
  <c r="K29" i="1"/>
  <c r="F19" i="1"/>
  <c r="E18" i="1"/>
  <c r="AD12" i="1" l="1"/>
  <c r="BB58" i="12"/>
  <c r="E27" i="9"/>
  <c r="E26" i="9"/>
  <c r="E31" i="9"/>
  <c r="G70" i="12"/>
  <c r="G69" i="12"/>
  <c r="G68" i="12"/>
  <c r="E30" i="9"/>
  <c r="F30" i="9" s="1"/>
  <c r="E6" i="5"/>
  <c r="E13" i="5" s="1"/>
  <c r="E15" i="5" s="1"/>
  <c r="G65" i="12"/>
  <c r="E28" i="9"/>
  <c r="G28" i="9" s="1"/>
  <c r="R7" i="1"/>
  <c r="AQ53" i="12" s="1"/>
  <c r="E64" i="12"/>
  <c r="D6" i="5"/>
  <c r="D13" i="5" s="1"/>
  <c r="D15" i="5" s="1"/>
  <c r="F65" i="12"/>
  <c r="F29" i="9"/>
  <c r="G29" i="9"/>
  <c r="K27" i="1"/>
  <c r="E19" i="1"/>
  <c r="F28" i="9" l="1"/>
  <c r="AE12" i="1"/>
  <c r="BD58" i="12" s="1"/>
  <c r="BC58" i="12"/>
  <c r="E16" i="5"/>
  <c r="C6" i="5"/>
  <c r="C16" i="5" s="1"/>
  <c r="E65" i="12"/>
  <c r="D16" i="5"/>
  <c r="G26" i="9"/>
  <c r="F26" i="9"/>
  <c r="G31" i="9"/>
  <c r="F31" i="9"/>
  <c r="B136" i="10" s="1"/>
  <c r="G30" i="9"/>
  <c r="G27" i="9"/>
  <c r="F27" i="9"/>
  <c r="D35" i="9" s="1"/>
  <c r="E14" i="5"/>
  <c r="E2" i="5" s="1"/>
  <c r="T6" i="1" s="1"/>
  <c r="AS52" i="12" s="1"/>
  <c r="C13" i="5"/>
  <c r="C15" i="5" s="1"/>
  <c r="D14" i="5"/>
  <c r="D2" i="5" s="1"/>
  <c r="S13" i="1" s="1"/>
  <c r="AR59" i="12" s="1"/>
  <c r="D37" i="9"/>
  <c r="E37" i="9" s="1"/>
  <c r="F37" i="9" s="1"/>
  <c r="L69" i="10" s="1"/>
  <c r="E117" i="10"/>
  <c r="E119" i="10" s="1"/>
  <c r="D38" i="9"/>
  <c r="E38" i="9" s="1"/>
  <c r="G38" i="9" s="1"/>
  <c r="F117" i="10"/>
  <c r="B117" i="10"/>
  <c r="B119" i="10" s="1"/>
  <c r="D117" i="10"/>
  <c r="D119" i="10" s="1"/>
  <c r="D36" i="9"/>
  <c r="E36" i="9" s="1"/>
  <c r="H36" i="9" s="1"/>
  <c r="L54" i="10" s="1"/>
  <c r="B124" i="10"/>
  <c r="B6" i="5"/>
  <c r="B16" i="5" s="1"/>
  <c r="C14" i="5" l="1"/>
  <c r="C2" i="5" s="1"/>
  <c r="B138" i="10"/>
  <c r="Q101" i="10" s="1"/>
  <c r="B139" i="10"/>
  <c r="Q102" i="10" s="1"/>
  <c r="B140" i="10"/>
  <c r="Q103" i="10" s="1"/>
  <c r="C117" i="10"/>
  <c r="C119" i="10" s="1"/>
  <c r="D34" i="9"/>
  <c r="E34" i="9" s="1"/>
  <c r="G34" i="9" s="1"/>
  <c r="L40" i="10" s="1"/>
  <c r="T13" i="1"/>
  <c r="AS59" i="12" s="1"/>
  <c r="S6" i="1"/>
  <c r="AR52" i="12" s="1"/>
  <c r="I37" i="9"/>
  <c r="Q65" i="10" s="1"/>
  <c r="I38" i="9"/>
  <c r="Q83" i="10" s="1"/>
  <c r="H37" i="9"/>
  <c r="L63" i="10" s="1"/>
  <c r="J38" i="9"/>
  <c r="Q84" i="10" s="1"/>
  <c r="L61" i="10"/>
  <c r="L65" i="10"/>
  <c r="F38" i="9"/>
  <c r="L75" i="10" s="1"/>
  <c r="J37" i="9"/>
  <c r="Q66" i="10" s="1"/>
  <c r="K37" i="9"/>
  <c r="Q71" i="10" s="1"/>
  <c r="G37" i="9"/>
  <c r="L70" i="10" s="1"/>
  <c r="K38" i="9"/>
  <c r="Q85" i="10" s="1"/>
  <c r="Q29" i="10" s="1"/>
  <c r="H38" i="9"/>
  <c r="L77" i="10" s="1"/>
  <c r="L80" i="10"/>
  <c r="L76" i="10"/>
  <c r="L84" i="10"/>
  <c r="B126" i="10"/>
  <c r="Q95" i="10" s="1"/>
  <c r="H128" i="10"/>
  <c r="H127" i="10"/>
  <c r="H126" i="10"/>
  <c r="G127" i="10"/>
  <c r="G126" i="10"/>
  <c r="G128" i="10"/>
  <c r="G36" i="9"/>
  <c r="L53" i="10" s="1"/>
  <c r="L22" i="10" s="1"/>
  <c r="L50" i="10"/>
  <c r="L58" i="10"/>
  <c r="F36" i="9"/>
  <c r="L48" i="10" s="1"/>
  <c r="K36" i="9"/>
  <c r="Q58" i="10" s="1"/>
  <c r="I36" i="9"/>
  <c r="Q48" i="10" s="1"/>
  <c r="J36" i="9"/>
  <c r="Q57" i="10" s="1"/>
  <c r="B13" i="5"/>
  <c r="B15" i="5" s="1"/>
  <c r="H6" i="5"/>
  <c r="G13" i="5" s="1"/>
  <c r="R6" i="1"/>
  <c r="AQ52" i="12" s="1"/>
  <c r="R13" i="1"/>
  <c r="AQ59" i="12" s="1"/>
  <c r="I34" i="9" l="1"/>
  <c r="Q39" i="10" s="1"/>
  <c r="L44" i="10"/>
  <c r="K34" i="9"/>
  <c r="Q37" i="10" s="1"/>
  <c r="L36" i="10"/>
  <c r="J34" i="9"/>
  <c r="Q36" i="10" s="1"/>
  <c r="F34" i="9"/>
  <c r="L35" i="10" s="1"/>
  <c r="F126" i="10"/>
  <c r="F128" i="10"/>
  <c r="F127" i="10"/>
  <c r="Q100" i="10"/>
  <c r="O103" i="10"/>
  <c r="O100" i="10" s="1"/>
  <c r="M103" i="10"/>
  <c r="M100" i="10" s="1"/>
  <c r="L103" i="10"/>
  <c r="L100" i="10" s="1"/>
  <c r="I103" i="10"/>
  <c r="I100" i="10" s="1"/>
  <c r="K103" i="10"/>
  <c r="K100" i="10" s="1"/>
  <c r="H103" i="10"/>
  <c r="H100" i="10" s="1"/>
  <c r="N103" i="10"/>
  <c r="N100" i="10" s="1"/>
  <c r="P103" i="10"/>
  <c r="P100" i="10" s="1"/>
  <c r="J103" i="10"/>
  <c r="J100" i="10" s="1"/>
  <c r="J102" i="10"/>
  <c r="P102" i="10"/>
  <c r="O102" i="10"/>
  <c r="K102" i="10"/>
  <c r="I102" i="10"/>
  <c r="H102" i="10"/>
  <c r="N102" i="10"/>
  <c r="M102" i="10"/>
  <c r="L102" i="10"/>
  <c r="H34" i="9"/>
  <c r="M101" i="10"/>
  <c r="N101" i="10"/>
  <c r="K101" i="10"/>
  <c r="L101" i="10"/>
  <c r="P101" i="10"/>
  <c r="H101" i="10"/>
  <c r="I101" i="10"/>
  <c r="J101" i="10"/>
  <c r="O101" i="10"/>
  <c r="Q35" i="10"/>
  <c r="Q43" i="10"/>
  <c r="Q45" i="10"/>
  <c r="Q41" i="10"/>
  <c r="Q19" i="10" s="1"/>
  <c r="L27" i="10"/>
  <c r="Q18" i="10"/>
  <c r="Q69" i="10"/>
  <c r="Q44" i="10"/>
  <c r="L43" i="10"/>
  <c r="L39" i="10"/>
  <c r="Q63" i="10"/>
  <c r="Q40" i="10"/>
  <c r="Q75" i="10"/>
  <c r="Q61" i="10"/>
  <c r="Q79" i="10"/>
  <c r="Q76" i="10"/>
  <c r="Q81" i="10"/>
  <c r="Q28" i="10" s="1"/>
  <c r="L85" i="10"/>
  <c r="L29" i="10" s="1"/>
  <c r="L67" i="10"/>
  <c r="L71" i="10"/>
  <c r="L26" i="10" s="1"/>
  <c r="Q62" i="10"/>
  <c r="L81" i="10"/>
  <c r="L28" i="10" s="1"/>
  <c r="L66" i="10"/>
  <c r="L62" i="10"/>
  <c r="L24" i="10" s="1"/>
  <c r="Q80" i="10"/>
  <c r="Q67" i="10"/>
  <c r="Q25" i="10" s="1"/>
  <c r="Q70" i="10"/>
  <c r="Q26" i="10" s="1"/>
  <c r="L83" i="10"/>
  <c r="L79" i="10"/>
  <c r="Q77" i="10"/>
  <c r="H95" i="10"/>
  <c r="P95" i="10"/>
  <c r="L49" i="10"/>
  <c r="L21" i="10" s="1"/>
  <c r="Q96" i="10"/>
  <c r="H96" i="10" s="1"/>
  <c r="Q53" i="10"/>
  <c r="L57" i="10"/>
  <c r="L23" i="10" s="1"/>
  <c r="Q56" i="10"/>
  <c r="Q97" i="10"/>
  <c r="Q23" i="10"/>
  <c r="L56" i="10"/>
  <c r="Q50" i="10"/>
  <c r="J95" i="10"/>
  <c r="Q54" i="10"/>
  <c r="Q22" i="10" s="1"/>
  <c r="L52" i="10"/>
  <c r="P88" i="10"/>
  <c r="M88" i="10"/>
  <c r="O88" i="10"/>
  <c r="J88" i="10"/>
  <c r="L88" i="10"/>
  <c r="I88" i="10"/>
  <c r="N88" i="10"/>
  <c r="H88" i="10"/>
  <c r="K88" i="10"/>
  <c r="Q52" i="10"/>
  <c r="Q49" i="10"/>
  <c r="I95" i="10"/>
  <c r="L95" i="10"/>
  <c r="K95" i="10"/>
  <c r="N95" i="10"/>
  <c r="M95" i="10"/>
  <c r="O95" i="10"/>
  <c r="B14" i="5"/>
  <c r="B2" i="5" s="1"/>
  <c r="Q13" i="1" s="1"/>
  <c r="AP59" i="12" s="1"/>
  <c r="I6" i="5"/>
  <c r="K6" i="5" s="1"/>
  <c r="Q13" i="5" s="1"/>
  <c r="Q14" i="5" s="1"/>
  <c r="Q2" i="5" s="1"/>
  <c r="L45" i="10" l="1"/>
  <c r="L20" i="10" s="1"/>
  <c r="L15" i="10" s="1"/>
  <c r="L41" i="10"/>
  <c r="L19" i="10" s="1"/>
  <c r="L37" i="10"/>
  <c r="L18" i="10" s="1"/>
  <c r="L12" i="10" s="1"/>
  <c r="G12" i="10" s="1"/>
  <c r="Q20" i="10"/>
  <c r="Q15" i="10" s="1"/>
  <c r="L25" i="10"/>
  <c r="Q24" i="10"/>
  <c r="Q27" i="10"/>
  <c r="I96" i="10"/>
  <c r="O96" i="10"/>
  <c r="K96" i="10"/>
  <c r="P96" i="10"/>
  <c r="J96" i="10"/>
  <c r="N96" i="10"/>
  <c r="L96" i="10"/>
  <c r="M96" i="10"/>
  <c r="K97" i="10"/>
  <c r="K94" i="10" s="1"/>
  <c r="I97" i="10"/>
  <c r="I94" i="10" s="1"/>
  <c r="N97" i="10"/>
  <c r="O97" i="10"/>
  <c r="H97" i="10"/>
  <c r="H94" i="10" s="1"/>
  <c r="L97" i="10"/>
  <c r="J97" i="10"/>
  <c r="M97" i="10"/>
  <c r="M94" i="10" s="1"/>
  <c r="Q94" i="10"/>
  <c r="P97" i="10"/>
  <c r="P94" i="10" s="1"/>
  <c r="Q13" i="10"/>
  <c r="Q21" i="10"/>
  <c r="Q6" i="1"/>
  <c r="L13" i="5"/>
  <c r="H13" i="5"/>
  <c r="L13" i="10" l="1"/>
  <c r="G13" i="10" s="1"/>
  <c r="V27" i="1"/>
  <c r="AC27" i="1" s="1"/>
  <c r="AP52" i="12"/>
  <c r="AU73" i="12" s="1"/>
  <c r="E22" i="25" s="1"/>
  <c r="F22" i="25" s="1"/>
  <c r="Q12" i="10"/>
  <c r="M12" i="10" s="1"/>
  <c r="O94" i="10"/>
  <c r="N94" i="10"/>
  <c r="J94" i="10"/>
  <c r="L94" i="10"/>
  <c r="G15" i="10"/>
  <c r="G10" i="10" s="1"/>
  <c r="R14" i="5"/>
  <c r="G14" i="5" s="1"/>
  <c r="H12" i="10"/>
  <c r="M15" i="10"/>
  <c r="N15" i="10" s="1"/>
  <c r="I13" i="5"/>
  <c r="M13" i="5"/>
  <c r="M13" i="10" l="1"/>
  <c r="G8" i="10"/>
  <c r="G7" i="10"/>
  <c r="F115" i="10" s="1"/>
  <c r="N12" i="10"/>
  <c r="O12" i="10" s="1"/>
  <c r="H15" i="10"/>
  <c r="I15" i="10" s="1"/>
  <c r="I12" i="10"/>
  <c r="H13" i="10"/>
  <c r="O15" i="10"/>
  <c r="N13" i="10"/>
  <c r="J13" i="5"/>
  <c r="N13" i="5"/>
  <c r="G2" i="10" l="1"/>
  <c r="F119" i="10"/>
  <c r="G3" i="10"/>
  <c r="V9" i="1" s="1"/>
  <c r="AU55" i="12" s="1"/>
  <c r="G5" i="10"/>
  <c r="V11" i="1" s="1"/>
  <c r="AU57" i="12" s="1"/>
  <c r="AF13" i="1"/>
  <c r="BE59" i="12" s="1"/>
  <c r="AF6" i="1"/>
  <c r="BE52" i="12" s="1"/>
  <c r="P12" i="10"/>
  <c r="J12" i="10"/>
  <c r="J15" i="10"/>
  <c r="O13" i="10"/>
  <c r="P15" i="10"/>
  <c r="I13" i="10"/>
  <c r="H14" i="5"/>
  <c r="G2" i="5"/>
  <c r="V6" i="1" s="1"/>
  <c r="AU52" i="12" s="1"/>
  <c r="O13" i="5"/>
  <c r="K13" i="5"/>
  <c r="I126" i="10" l="1"/>
  <c r="E126" i="10" s="1"/>
  <c r="Q89" i="10" s="1"/>
  <c r="I128" i="10"/>
  <c r="E128" i="10" s="1"/>
  <c r="Q91" i="10" s="1"/>
  <c r="P91" i="10" s="1"/>
  <c r="I127" i="10"/>
  <c r="E127" i="10" s="1"/>
  <c r="Q90" i="10" s="1"/>
  <c r="O90" i="10" s="1"/>
  <c r="H130" i="10"/>
  <c r="F131" i="10"/>
  <c r="F132" i="10"/>
  <c r="G131" i="10"/>
  <c r="F130" i="10"/>
  <c r="H132" i="10"/>
  <c r="H131" i="10"/>
  <c r="G132" i="10"/>
  <c r="G130" i="10"/>
  <c r="AB28" i="1"/>
  <c r="AF15" i="1"/>
  <c r="AG13" i="1"/>
  <c r="T6" i="10" s="1"/>
  <c r="K12" i="10"/>
  <c r="J13" i="10"/>
  <c r="P13" i="10"/>
  <c r="K15" i="10"/>
  <c r="V13" i="1"/>
  <c r="AU59" i="12" s="1"/>
  <c r="I14" i="5"/>
  <c r="H2" i="5"/>
  <c r="P13" i="5"/>
  <c r="H91" i="10" l="1"/>
  <c r="I130" i="10"/>
  <c r="O91" i="10"/>
  <c r="N90" i="10"/>
  <c r="J90" i="10"/>
  <c r="Q87" i="10"/>
  <c r="M91" i="10"/>
  <c r="P90" i="10"/>
  <c r="P87" i="10" s="1"/>
  <c r="I132" i="10"/>
  <c r="L91" i="10"/>
  <c r="J91" i="10"/>
  <c r="I90" i="10"/>
  <c r="I91" i="10"/>
  <c r="H90" i="10"/>
  <c r="N91" i="10"/>
  <c r="M90" i="10"/>
  <c r="L90" i="10"/>
  <c r="K91" i="10"/>
  <c r="K90" i="10"/>
  <c r="I131" i="10"/>
  <c r="L89" i="10"/>
  <c r="P89" i="10"/>
  <c r="H89" i="10"/>
  <c r="N89" i="10"/>
  <c r="J89" i="10"/>
  <c r="O89" i="10"/>
  <c r="K89" i="10"/>
  <c r="M89" i="10"/>
  <c r="I89" i="10"/>
  <c r="V8" i="1"/>
  <c r="AU54" i="12" s="1"/>
  <c r="W13" i="1"/>
  <c r="AV59" i="12" s="1"/>
  <c r="K13" i="10"/>
  <c r="J14" i="5"/>
  <c r="I2" i="5"/>
  <c r="O87" i="10" l="1"/>
  <c r="O7" i="10" s="1"/>
  <c r="O2" i="10" s="1"/>
  <c r="J87" i="10"/>
  <c r="H87" i="10"/>
  <c r="H8" i="10" s="1"/>
  <c r="H3" i="10" s="1"/>
  <c r="W9" i="1" s="1"/>
  <c r="AV55" i="12" s="1"/>
  <c r="K87" i="10"/>
  <c r="K7" i="10" s="1"/>
  <c r="K2" i="10" s="1"/>
  <c r="L87" i="10"/>
  <c r="N87" i="10"/>
  <c r="N7" i="10" s="1"/>
  <c r="N2" i="10" s="1"/>
  <c r="I87" i="10"/>
  <c r="I8" i="10" s="1"/>
  <c r="I3" i="10" s="1"/>
  <c r="X9" i="1" s="1"/>
  <c r="AW55" i="12" s="1"/>
  <c r="M87" i="10"/>
  <c r="M10" i="10" s="1"/>
  <c r="M5" i="10" s="1"/>
  <c r="AB11" i="1" s="1"/>
  <c r="BA57" i="12" s="1"/>
  <c r="V7" i="1"/>
  <c r="Q7" i="10"/>
  <c r="Q2" i="10" s="1"/>
  <c r="AF8" i="1" s="1"/>
  <c r="BE54" i="12" s="1"/>
  <c r="Q8" i="10"/>
  <c r="M16" i="1" s="1"/>
  <c r="M62" i="12" s="1"/>
  <c r="E78" i="25" s="1"/>
  <c r="F78" i="25" s="1"/>
  <c r="Q10" i="10"/>
  <c r="Q5" i="10" s="1"/>
  <c r="AF11" i="1" s="1"/>
  <c r="BE57" i="12" s="1"/>
  <c r="P7" i="10"/>
  <c r="P2" i="10" s="1"/>
  <c r="P10" i="10"/>
  <c r="P5" i="10" s="1"/>
  <c r="AE11" i="1" s="1"/>
  <c r="BD57" i="12" s="1"/>
  <c r="P8" i="10"/>
  <c r="P3" i="10" s="1"/>
  <c r="AE9" i="1" s="1"/>
  <c r="BD55" i="12" s="1"/>
  <c r="X13" i="1"/>
  <c r="AW59" i="12" s="1"/>
  <c r="K14" i="5"/>
  <c r="J2" i="5"/>
  <c r="V16" i="1" l="1"/>
  <c r="AU53" i="12"/>
  <c r="AV73" i="12" s="1"/>
  <c r="E23" i="25" s="1"/>
  <c r="F23" i="25" s="1"/>
  <c r="L8" i="10"/>
  <c r="L3" i="10" s="1"/>
  <c r="L7" i="10"/>
  <c r="J8" i="10"/>
  <c r="J3" i="10" s="1"/>
  <c r="Y9" i="1" s="1"/>
  <c r="AX55" i="12" s="1"/>
  <c r="O8" i="10"/>
  <c r="O3" i="10" s="1"/>
  <c r="AD9" i="1" s="1"/>
  <c r="BC55" i="12" s="1"/>
  <c r="O10" i="10"/>
  <c r="O5" i="10" s="1"/>
  <c r="AD11" i="1" s="1"/>
  <c r="BC57" i="12" s="1"/>
  <c r="N8" i="10"/>
  <c r="N3" i="10" s="1"/>
  <c r="AC9" i="1" s="1"/>
  <c r="BB55" i="12" s="1"/>
  <c r="J10" i="10"/>
  <c r="J5" i="10" s="1"/>
  <c r="Y11" i="1" s="1"/>
  <c r="AX57" i="12" s="1"/>
  <c r="J7" i="10"/>
  <c r="J2" i="10" s="1"/>
  <c r="N10" i="10"/>
  <c r="N5" i="10" s="1"/>
  <c r="AC11" i="1" s="1"/>
  <c r="BB57" i="12" s="1"/>
  <c r="K10" i="10"/>
  <c r="K5" i="10" s="1"/>
  <c r="Z11" i="1" s="1"/>
  <c r="AY57" i="12" s="1"/>
  <c r="K8" i="10"/>
  <c r="K3" i="10" s="1"/>
  <c r="Z9" i="1" s="1"/>
  <c r="AY55" i="12" s="1"/>
  <c r="H10" i="10"/>
  <c r="H5" i="10" s="1"/>
  <c r="W11" i="1" s="1"/>
  <c r="AV57" i="12" s="1"/>
  <c r="H7" i="10"/>
  <c r="H2" i="10" s="1"/>
  <c r="W8" i="1" s="1"/>
  <c r="AV54" i="12" s="1"/>
  <c r="L2" i="10"/>
  <c r="I7" i="10"/>
  <c r="I2" i="10" s="1"/>
  <c r="X8" i="1" s="1"/>
  <c r="AW54" i="12" s="1"/>
  <c r="L10" i="10"/>
  <c r="K17" i="1" s="1"/>
  <c r="K63" i="12" s="1"/>
  <c r="E72" i="25" s="1"/>
  <c r="F72" i="25" s="1"/>
  <c r="I10" i="10"/>
  <c r="I5" i="10" s="1"/>
  <c r="X11" i="1" s="1"/>
  <c r="AW57" i="12" s="1"/>
  <c r="M7" i="10"/>
  <c r="M2" i="10" s="1"/>
  <c r="M8" i="10"/>
  <c r="M3" i="10" s="1"/>
  <c r="AB9" i="1" s="1"/>
  <c r="BA55" i="12" s="1"/>
  <c r="M17" i="1"/>
  <c r="M63" i="12" s="1"/>
  <c r="E79" i="25" s="1"/>
  <c r="F79" i="25" s="1"/>
  <c r="Q3" i="10"/>
  <c r="AF9" i="1" s="1"/>
  <c r="T5" i="10"/>
  <c r="T7" i="10" s="1"/>
  <c r="T3" i="10"/>
  <c r="M15" i="1"/>
  <c r="M61" i="12" s="1"/>
  <c r="E77" i="25" s="1"/>
  <c r="F77" i="25" s="1"/>
  <c r="Y13" i="1"/>
  <c r="AX59" i="12" s="1"/>
  <c r="L14" i="5"/>
  <c r="K2" i="5"/>
  <c r="AF7" i="1" l="1"/>
  <c r="BE53" i="12" s="1"/>
  <c r="BE55" i="12"/>
  <c r="K16" i="1"/>
  <c r="K62" i="12" s="1"/>
  <c r="E71" i="25" s="1"/>
  <c r="F71" i="25" s="1"/>
  <c r="W7" i="1"/>
  <c r="T2" i="10"/>
  <c r="T4" i="10" s="1"/>
  <c r="L5" i="10"/>
  <c r="X7" i="1"/>
  <c r="M18" i="1"/>
  <c r="T8" i="10"/>
  <c r="T9" i="10" s="1"/>
  <c r="Y8" i="1"/>
  <c r="AX54" i="12" s="1"/>
  <c r="Z13" i="1"/>
  <c r="AY59" i="12" s="1"/>
  <c r="M14" i="5"/>
  <c r="L2" i="5"/>
  <c r="AF16" i="1" l="1"/>
  <c r="Y27" i="1"/>
  <c r="AA27" i="1" s="1"/>
  <c r="AJ7" i="1"/>
  <c r="W16" i="1"/>
  <c r="AV53" i="12"/>
  <c r="M19" i="1"/>
  <c r="M64" i="12"/>
  <c r="E80" i="25" s="1"/>
  <c r="F80" i="25" s="1"/>
  <c r="X16" i="1"/>
  <c r="AW53" i="12"/>
  <c r="AX73" i="12"/>
  <c r="E25" i="25" s="1"/>
  <c r="F25" i="25" s="1"/>
  <c r="Y7" i="1"/>
  <c r="Z8" i="1"/>
  <c r="AY54" i="12" s="1"/>
  <c r="AA6" i="1"/>
  <c r="AZ52" i="12" s="1"/>
  <c r="AA13" i="1"/>
  <c r="AZ59" i="12" s="1"/>
  <c r="W27" i="1"/>
  <c r="AD27" i="1" s="1"/>
  <c r="N14" i="5"/>
  <c r="M2" i="5"/>
  <c r="AF27" i="1" l="1"/>
  <c r="AG15" i="1" s="1"/>
  <c r="P19" i="1"/>
  <c r="M65" i="12"/>
  <c r="E81" i="25" s="1"/>
  <c r="F81" i="25" s="1"/>
  <c r="Y16" i="1"/>
  <c r="AX53" i="12"/>
  <c r="Z7" i="1"/>
  <c r="AB13" i="1"/>
  <c r="BA59" i="12" s="1"/>
  <c r="AB6" i="1"/>
  <c r="BA52" i="12" s="1"/>
  <c r="O14" i="5"/>
  <c r="N2" i="5"/>
  <c r="Z16" i="1" l="1"/>
  <c r="AY53" i="12"/>
  <c r="AB8" i="1"/>
  <c r="BA54" i="12" s="1"/>
  <c r="AC13" i="1"/>
  <c r="BB59" i="12" s="1"/>
  <c r="AC6" i="1"/>
  <c r="BB52" i="12" s="1"/>
  <c r="P14" i="5"/>
  <c r="P2" i="5" s="1"/>
  <c r="O2" i="5"/>
  <c r="AB7" i="1" l="1"/>
  <c r="AC8" i="1"/>
  <c r="BB54" i="12" s="1"/>
  <c r="AD13" i="1"/>
  <c r="BC59" i="12" s="1"/>
  <c r="AD6" i="1"/>
  <c r="BC52" i="12" s="1"/>
  <c r="AE13" i="1"/>
  <c r="BD59" i="12" s="1"/>
  <c r="AE6" i="1"/>
  <c r="BD52" i="12" s="1"/>
  <c r="AB16" i="1" l="1"/>
  <c r="BA53" i="12"/>
  <c r="AC7" i="1"/>
  <c r="AE8" i="1"/>
  <c r="BD54" i="12" s="1"/>
  <c r="AD8" i="1"/>
  <c r="BC54" i="12" s="1"/>
  <c r="AA4" i="1"/>
  <c r="AA9" i="1"/>
  <c r="AZ55" i="12" s="1"/>
  <c r="K15" i="1"/>
  <c r="K61" i="12" s="1"/>
  <c r="E70" i="25" s="1"/>
  <c r="F70" i="25" s="1"/>
  <c r="AA11" i="1"/>
  <c r="AZ57" i="12" s="1"/>
  <c r="AC16" i="1" l="1"/>
  <c r="BB53" i="12"/>
  <c r="AD7" i="1"/>
  <c r="AE7" i="1"/>
  <c r="X12" i="1"/>
  <c r="AW58" i="12" s="1"/>
  <c r="W6" i="1"/>
  <c r="AV52" i="12" s="1"/>
  <c r="AA8" i="1"/>
  <c r="AZ54" i="12" s="1"/>
  <c r="K18" i="1"/>
  <c r="K19" i="1" l="1"/>
  <c r="K65" i="12" s="1"/>
  <c r="E74" i="25" s="1"/>
  <c r="F74" i="25" s="1"/>
  <c r="K64" i="12"/>
  <c r="E73" i="25" s="1"/>
  <c r="F73" i="25" s="1"/>
  <c r="AE16" i="1"/>
  <c r="BD53" i="12"/>
  <c r="AD16" i="1"/>
  <c r="BC53" i="12"/>
  <c r="AA7" i="1"/>
  <c r="Y12" i="1"/>
  <c r="AX58" i="12" s="1"/>
  <c r="X6" i="1"/>
  <c r="AW52" i="12" s="1"/>
  <c r="X27" i="1" l="1"/>
  <c r="AA28" i="1" s="1"/>
  <c r="AZ53" i="12"/>
  <c r="AF14" i="1"/>
  <c r="AA14" i="1"/>
  <c r="AA16" i="1"/>
  <c r="Z12" i="1"/>
  <c r="Y6" i="1"/>
  <c r="AX52" i="12" s="1"/>
  <c r="AE27" i="1" l="1"/>
  <c r="Z6" i="1"/>
  <c r="AY52" i="12" s="1"/>
  <c r="AY58" i="12"/>
  <c r="AZ60" i="12"/>
  <c r="BE60" i="12"/>
  <c r="AW73" i="12"/>
  <c r="E24" i="25" s="1"/>
  <c r="F24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tc={DFB78A79-8A7A-4A95-9384-353E3C3038EE}</author>
  </authors>
  <commentList>
    <comment ref="B25" authorId="0" shapeId="0" xr:uid="{DFB78A79-8A7A-4A95-9384-353E3C3038EE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all RVU? Only RVUs related to ROs? How about on commercial? 
Reply:
    Prostate is surprising. Can we get # of patients? And umber of 77427s?
Reply:
    Is this inflated by D21 from an existing number in FFS?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tc={9CD6FC61-598C-40FB-836D-C55936696473}</author>
  </authors>
  <commentList>
    <comment ref="B25" authorId="0" shapeId="0" xr:uid="{9CD6FC61-598C-40FB-836D-C55936696473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all RVU? Only RVUs related to ROs? How about on commercial? 
Reply:
    Prostate is surprising. Can we get # of patients? And umber of 77427s?
Reply:
    Is this inflated by D21 from an existing number in FFS?</t>
      </text>
    </comment>
  </commentList>
</comments>
</file>

<file path=xl/sharedStrings.xml><?xml version="1.0" encoding="utf-8"?>
<sst xmlns="http://schemas.openxmlformats.org/spreadsheetml/2006/main" count="1053" uniqueCount="303">
  <si>
    <t>Total ROs</t>
  </si>
  <si>
    <t>Entrants</t>
  </si>
  <si>
    <t>Exits</t>
  </si>
  <si>
    <t>(n/a, all)</t>
  </si>
  <si>
    <t>Medicare FFS</t>
  </si>
  <si>
    <t>Medicare Managed Care</t>
  </si>
  <si>
    <t>All other</t>
  </si>
  <si>
    <t>Projection</t>
  </si>
  <si>
    <t>Demand in RVUs</t>
  </si>
  <si>
    <t>Baseline</t>
  </si>
  <si>
    <t>2019 RVUs</t>
  </si>
  <si>
    <t>Total RVUs</t>
  </si>
  <si>
    <t xml:space="preserve"> </t>
  </si>
  <si>
    <t>Year</t>
  </si>
  <si>
    <t>Traditional Medicare</t>
  </si>
  <si>
    <t>MA and other Mananged</t>
  </si>
  <si>
    <t>https://www.kff.org/medicare/state-indicator/total-medicare-beneficiaries</t>
  </si>
  <si>
    <t>US Population Age 44 - 65</t>
  </si>
  <si>
    <t>Use of 2016, 2020, 2030 for all from: https://www.census.gov/content/dam/Census/library/publications/2020/demo/p25-1144.pdf</t>
  </si>
  <si>
    <t>Age 45 to 64 pop in mil</t>
  </si>
  <si>
    <t>Multiplier</t>
  </si>
  <si>
    <t>2020 - 24</t>
  </si>
  <si>
    <t>2025 - 29</t>
  </si>
  <si>
    <t>All other demand</t>
  </si>
  <si>
    <t>All Medicare</t>
  </si>
  <si>
    <t>Medicare FFS demand</t>
  </si>
  <si>
    <t>Medicare Managed demand</t>
  </si>
  <si>
    <t>Managed Medicare</t>
  </si>
  <si>
    <t>RVUs in 2019</t>
  </si>
  <si>
    <t>RVUs continue the trend from 2015 to 2019</t>
  </si>
  <si>
    <t>RVUs drop to second lowest</t>
  </si>
  <si>
    <t>RVUs rise to second highest region by 2030</t>
  </si>
  <si>
    <t>RVUs rise to highest region by 2030</t>
  </si>
  <si>
    <t>Use this RVU</t>
  </si>
  <si>
    <t>Supply impacts</t>
  </si>
  <si>
    <t>RVUs at 2019 and then fall to second lowest by 2030</t>
  </si>
  <si>
    <t>RVUs in 2019 [there is a "right" level of work]</t>
  </si>
  <si>
    <t>RVUs continue the trend from 2015 to 2019 [simple trend]</t>
  </si>
  <si>
    <t>2021 - 25</t>
  </si>
  <si>
    <t>2026 - 30</t>
  </si>
  <si>
    <t>Sum of Demand</t>
  </si>
  <si>
    <t>Supply in Individual Radiation Oncologists</t>
  </si>
  <si>
    <t>Annual Trend</t>
  </si>
  <si>
    <t>Northeast</t>
  </si>
  <si>
    <t>New England</t>
  </si>
  <si>
    <t>Middle Atlantic</t>
  </si>
  <si>
    <t>Midwest</t>
  </si>
  <si>
    <t>East North Central</t>
  </si>
  <si>
    <t>West North Central</t>
  </si>
  <si>
    <t>South</t>
  </si>
  <si>
    <t>South Atlantic</t>
  </si>
  <si>
    <t>East South Central</t>
  </si>
  <si>
    <t>West South Central</t>
  </si>
  <si>
    <t>West</t>
  </si>
  <si>
    <t>Mountain</t>
  </si>
  <si>
    <t>Pacific</t>
  </si>
  <si>
    <t>Total</t>
  </si>
  <si>
    <t>RVUs per RO in Medicare FFS</t>
  </si>
  <si>
    <t>Ratio of highest to average</t>
  </si>
  <si>
    <t>Ratio of second highest to average</t>
  </si>
  <si>
    <t>Ratio of second lowest to average</t>
  </si>
  <si>
    <t>Simple trend plus acceleration to bring RVUs to the highest region by 2030 [elastic response to falling reimbursement]</t>
  </si>
  <si>
    <t>Trend accelerates to RVUs to second highest region (in 2030 average becomes equal to 2019 second highest region)</t>
  </si>
  <si>
    <t>Number of ROs</t>
  </si>
  <si>
    <t>RVUs per RO Secondary Axis</t>
  </si>
  <si>
    <t>RVU productivity scenario:</t>
  </si>
  <si>
    <t>Demand impacts</t>
  </si>
  <si>
    <t>Supply in RO*RVU Ratio</t>
  </si>
  <si>
    <t>Supply/demand mismtach in ROs</t>
  </si>
  <si>
    <t>Sensitivity Analysis on Assumption of Total RVUs in Average RO Practice 2019</t>
  </si>
  <si>
    <t>National Average Payer Mix at 2019 RVUs</t>
  </si>
  <si>
    <t>Note: anchor date is age + 28 years or, if age unavailable, then NPPES graduation year</t>
  </si>
  <si>
    <t>Risk for exit by 2025 and by 2030 same as by 2020 (risk by years since anchor date, all in 5 year increments)</t>
  </si>
  <si>
    <t>Risk for exit 2025 and 2030 is 25% higher (relative for each cohort of years since anchor date, not absolute)</t>
  </si>
  <si>
    <t>Risk for exit 2025 and 2030 is 10% higher (relative for each cohort of years since anchor date, not absolute)</t>
  </si>
  <si>
    <t>Risk for exit 2025 and 2030 is 10% lower (relative for each cohort of years since anchor date, not absolute)</t>
  </si>
  <si>
    <t>Risk for exit 2025 and 2030 is 25% lower (relative for each cohort of years since anchor date, not absolute)</t>
  </si>
  <si>
    <t>From average, percent that drop to 1 77427 by 2025</t>
  </si>
  <si>
    <t>From average, percent that drop to 1 77427 by 20230</t>
  </si>
  <si>
    <t>Description</t>
  </si>
  <si>
    <t>Implied average when not 1</t>
  </si>
  <si>
    <t>Low range modeled/discussed but not shown except tool</t>
  </si>
  <si>
    <t>Mid-range shown in paper</t>
  </si>
  <si>
    <t>High range modeled/discussed but not shown except tool</t>
  </si>
  <si>
    <t># of 77427 per breast onc patient with at least one 77427</t>
  </si>
  <si>
    <t>Prostate</t>
  </si>
  <si>
    <t># of 77427 per prostate onc patient with at least one 77427</t>
  </si>
  <si>
    <t>Metastatic</t>
  </si>
  <si>
    <t>New fractions per patient applying %</t>
  </si>
  <si>
    <t>Breast</t>
  </si>
  <si>
    <t>Loss of indication for RT</t>
  </si>
  <si>
    <t>Anal</t>
  </si>
  <si>
    <t xml:space="preserve">Not modeled </t>
  </si>
  <si>
    <t xml:space="preserve">All cancer </t>
  </si>
  <si>
    <t>2019 MA Enrollment</t>
  </si>
  <si>
    <t>Managed Care Inflator</t>
  </si>
  <si>
    <t>DE</t>
  </si>
  <si>
    <t>2019 Commercial RVU</t>
  </si>
  <si>
    <t>Commercial Inflator</t>
  </si>
  <si>
    <t>Breast_cancer</t>
  </si>
  <si>
    <t>Anal_cancer</t>
  </si>
  <si>
    <t>Sec_Metastatic</t>
  </si>
  <si>
    <t>All Other</t>
  </si>
  <si>
    <t>ALL</t>
  </si>
  <si>
    <t>Adjust for DE saturation</t>
  </si>
  <si>
    <t>2019 Adj Commercial</t>
  </si>
  <si>
    <t>US</t>
  </si>
  <si>
    <t xml:space="preserve">All </t>
  </si>
  <si>
    <r>
      <t xml:space="preserve">2019 Medicare RVU </t>
    </r>
    <r>
      <rPr>
        <sz val="11"/>
        <color rgb="FFC00000"/>
        <rFont val="Calibri"/>
        <family val="2"/>
        <scheme val="minor"/>
      </rPr>
      <t>[RT?]</t>
    </r>
  </si>
  <si>
    <t>RO exit risk change:</t>
  </si>
  <si>
    <t>Loss of indication(s):</t>
  </si>
  <si>
    <t>Regional demand changes:</t>
  </si>
  <si>
    <t>Hypofractionation Prostate CA:</t>
  </si>
  <si>
    <t>Hypofractionation Metastatic:</t>
  </si>
  <si>
    <t>Low</t>
  </si>
  <si>
    <t xml:space="preserve">Medium </t>
  </si>
  <si>
    <t>High</t>
  </si>
  <si>
    <t>Hypofractionation All Other:</t>
  </si>
  <si>
    <t>Loss of indications</t>
  </si>
  <si>
    <t>RVUs per 77427</t>
  </si>
  <si>
    <t>Absolute drop low 2025</t>
  </si>
  <si>
    <t>Absolute drop low 2030</t>
  </si>
  <si>
    <t>Absolute drop med 2025</t>
  </si>
  <si>
    <t>Absolute drop high 2025</t>
  </si>
  <si>
    <t>Absolute drop medium 2030</t>
  </si>
  <si>
    <t>Absolute drop high 2030</t>
  </si>
  <si>
    <t>Percent of start</t>
  </si>
  <si>
    <t>Baseline data: Medicare FFS</t>
  </si>
  <si>
    <t xml:space="preserve">DE 2019 Medicare FFS Beneficiaries </t>
  </si>
  <si>
    <t>DE dB data</t>
  </si>
  <si>
    <t>KFF DE 2019 (person year method)</t>
  </si>
  <si>
    <t>Breast Medicare FFS</t>
  </si>
  <si>
    <t>Breast Medicare Managed</t>
  </si>
  <si>
    <t>New indication</t>
  </si>
  <si>
    <t>Regional demand changes</t>
  </si>
  <si>
    <t>For all Medicare FFS percentage of all Medicare</t>
  </si>
  <si>
    <t>Breast All other</t>
  </si>
  <si>
    <t>Breast Medicare FFs</t>
  </si>
  <si>
    <t xml:space="preserve">Breast Medicare managed </t>
  </si>
  <si>
    <t xml:space="preserve">Breast all other </t>
  </si>
  <si>
    <t>Prostate Medicare FFs</t>
  </si>
  <si>
    <t xml:space="preserve">Prostate Medicare managed </t>
  </si>
  <si>
    <t xml:space="preserve">Prostate all other </t>
  </si>
  <si>
    <t>Prostate Medicare FFS</t>
  </si>
  <si>
    <t>Prostate Medicare Managed</t>
  </si>
  <si>
    <t>Prostate All other</t>
  </si>
  <si>
    <t>Metastatic Medicare FFS</t>
  </si>
  <si>
    <t>Metastatic Medicare Managed</t>
  </si>
  <si>
    <t>Metastatic All other</t>
  </si>
  <si>
    <t>Metastatic Medicare FFs</t>
  </si>
  <si>
    <t xml:space="preserve">Metastatic Medicare managed </t>
  </si>
  <si>
    <t xml:space="preserve">Metastatic all other </t>
  </si>
  <si>
    <t>2019 77427 per patient</t>
  </si>
  <si>
    <t>2019 percentage of patients at single 77427</t>
  </si>
  <si>
    <t>Demand rises proportionately to highest region (much higher percentage of patients with RT indication receive RT)</t>
  </si>
  <si>
    <t>Demand rises proportionately to second highest region (somewhat more patients with RT indication receive RT)</t>
  </si>
  <si>
    <t xml:space="preserve">No movement of demand not otherwise modeled </t>
  </si>
  <si>
    <t>All other cancers Medicare FFS</t>
  </si>
  <si>
    <t>All other cancers Medicare Managed</t>
  </si>
  <si>
    <t>All other cancers All other</t>
  </si>
  <si>
    <t xml:space="preserve">Positive number means supply exceeds demands. Negative: need more ROs. </t>
  </si>
  <si>
    <t>Adjusted 2019</t>
  </si>
  <si>
    <t>Centers for Medicare &amp; Medicaid Services, Office of Enterprise Data and Analytics, Chronic Conditions Data Warehouse.</t>
  </si>
  <si>
    <t>Sources</t>
  </si>
  <si>
    <t>The enrollment counts are determined using a person-year methodology.  Numbers may not add to totals because of rounding</t>
  </si>
  <si>
    <t>Notes</t>
  </si>
  <si>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</si>
  <si>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</si>
  <si>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</si>
  <si>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</si>
  <si>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</si>
  <si>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</si>
  <si>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</si>
  <si>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</si>
  <si>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</si>
  <si>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</si>
  <si>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</si>
  <si>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</si>
  <si>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</si>
  <si>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</si>
  <si>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</si>
  <si>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</si>
  <si>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</si>
  <si>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</si>
  <si>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</si>
  <si>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</si>
  <si>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</si>
  <si>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</si>
  <si>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</si>
  <si>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</si>
  <si>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</si>
  <si>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</si>
  <si>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</si>
  <si>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</si>
  <si>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</si>
  <si>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</si>
  <si>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</si>
  <si>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</si>
  <si>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</si>
  <si>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</si>
  <si>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</si>
  <si>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</si>
  <si>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</si>
  <si>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</si>
  <si>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</si>
  <si>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</si>
  <si>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</si>
  <si>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</si>
  <si>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>District of Columbia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</si>
  <si>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</si>
  <si>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</si>
  <si>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</si>
  <si>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</si>
  <si>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</si>
  <si>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</si>
  <si>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</si>
  <si>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</si>
  <si>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United States</t>
  </si>
  <si>
    <t>Medicare Advantage and Other Health Plan Enrollment Percent of Total Enrollment</t>
  </si>
  <si>
    <t>Medicare Advantage and Other Health Plan Enrollment</t>
  </si>
  <si>
    <t>Traditional Medicare Enrollment Percent of Total Enrollment</t>
  </si>
  <si>
    <t>Traditional Medicare Enrollment</t>
  </si>
  <si>
    <t>Total Medicare Enrollment</t>
  </si>
  <si>
    <t>Location</t>
  </si>
  <si>
    <t>Timeframe: 2019</t>
  </si>
  <si>
    <t>Title: Total Number of Medicare Beneficiaries by Type of Coverage | KFF</t>
  </si>
  <si>
    <t>Medicare managed care</t>
  </si>
  <si>
    <t>All</t>
  </si>
  <si>
    <t>Demand falls proportionately to lowest region (hypofractionation beyond model plus other indication losses)</t>
  </si>
  <si>
    <t>Average</t>
  </si>
  <si>
    <t>RVU per beneficiary</t>
  </si>
  <si>
    <t>Demand falls proportionately to second lowest region (hypofractionation beyond model plus other indication losses)</t>
  </si>
  <si>
    <t>Breast_cancer_Early_Stage</t>
  </si>
  <si>
    <t>2020 FFS RVU</t>
  </si>
  <si>
    <t>Managed Care inflator for 2020</t>
  </si>
  <si>
    <t>All other inflator inflator</t>
  </si>
  <si>
    <t xml:space="preserve">Benficiaries in FFS with metastatic cancer  </t>
  </si>
  <si>
    <t>With managed care</t>
  </si>
  <si>
    <t>With all other</t>
  </si>
  <si>
    <t xml:space="preserve">RVUs per </t>
  </si>
  <si>
    <t>Total possible RVUs</t>
  </si>
  <si>
    <r>
      <t xml:space="preserve">RVUs/RO calculated </t>
    </r>
    <r>
      <rPr>
        <sz val="8"/>
        <color theme="0"/>
        <rFont val="Calibri"/>
        <family val="2"/>
        <scheme val="minor"/>
      </rPr>
      <t>(not scenario)</t>
    </r>
  </si>
  <si>
    <t>Early stage Breast</t>
  </si>
  <si>
    <t xml:space="preserve">All other </t>
  </si>
  <si>
    <t>Hypofractionation Early Breast CA:</t>
  </si>
  <si>
    <t>2019 patients rcving at least 1 77427 RT Medicare FFS</t>
  </si>
  <si>
    <t># of 77427 per patient with at least one 77427 w/o breast, prostate or metastatic</t>
  </si>
  <si>
    <t>All others Medicare FFs</t>
  </si>
  <si>
    <t xml:space="preserve">All others Medicare managed </t>
  </si>
  <si>
    <t>All others all other payers</t>
  </si>
  <si>
    <t>Medicare growth 2021 to 2030</t>
  </si>
  <si>
    <t>2030 total</t>
  </si>
  <si>
    <t>Supply</t>
  </si>
  <si>
    <t># of 77427 per metastatic onc patient with at least one 77427</t>
  </si>
  <si>
    <t>Percent commercial</t>
  </si>
  <si>
    <t>Total Estimated RVU Impacted by new indication</t>
  </si>
  <si>
    <t>Cancer Impact on RVU Demand</t>
  </si>
  <si>
    <t>% of cancers in scenario</t>
  </si>
  <si>
    <t>Loss of indications will be balanced by other new indications</t>
  </si>
  <si>
    <t>Med</t>
  </si>
  <si>
    <t>Low: early breast cancer down 15%, prostate down 5%</t>
  </si>
  <si>
    <t>Mid-range: early breast cancer down 20%, prostate down 10%, all others down 3%</t>
  </si>
  <si>
    <t>High: early breast cancer down 25%, prostate down 15%, all others down 6%</t>
  </si>
  <si>
    <t>All Others given value</t>
  </si>
  <si>
    <t>All Others Calculated</t>
  </si>
  <si>
    <t>60% of patients with metastatic cancer have new indication with 20 RVUs</t>
  </si>
  <si>
    <t>New Indication for Metastic Cancer:</t>
  </si>
  <si>
    <t>New RT, non-significant in 2015-9</t>
  </si>
  <si>
    <t>REMOVE FROM LIST</t>
  </si>
  <si>
    <t>New RT</t>
  </si>
  <si>
    <t>RVUs</t>
  </si>
  <si>
    <t>All FFS beneficiaries with cancer tx'd by RO with specific cancers</t>
  </si>
  <si>
    <t>Adjusted number</t>
  </si>
  <si>
    <t xml:space="preserve">Should be about 1M since this is approx number in US that receive RT per year </t>
  </si>
  <si>
    <t>3% of patients with all cancers have new treatment with 20 RVUs</t>
  </si>
  <si>
    <t>6% of patients with all cancers have new treatment with 20 RVUs</t>
  </si>
  <si>
    <t>Average length in treatment (to estimate new patients within a year - estimate on average 7 months - likely coming in for 6 month follow up)</t>
  </si>
  <si>
    <t>Percentage increase</t>
  </si>
  <si>
    <t>Bene change</t>
  </si>
  <si>
    <t>FFS</t>
  </si>
  <si>
    <t>MA</t>
  </si>
  <si>
    <t>RVU change</t>
  </si>
  <si>
    <t>RVUs per Bene</t>
  </si>
  <si>
    <t>Percentage</t>
  </si>
  <si>
    <r>
      <t>25% of patients with metastatic cancer have new indication with 2</t>
    </r>
    <r>
      <rPr>
        <sz val="11"/>
        <color rgb="FFFF0000"/>
        <rFont val="Calibri"/>
        <family val="2"/>
        <scheme val="minor"/>
      </rPr>
      <t>0 RVUs</t>
    </r>
  </si>
  <si>
    <r>
      <t>5% of patients with metastatic cancer have new indication with 2</t>
    </r>
    <r>
      <rPr>
        <sz val="11"/>
        <color rgb="FFFF0000"/>
        <rFont val="Calibri"/>
        <family val="2"/>
        <scheme val="minor"/>
      </rPr>
      <t>0 RVUs</t>
    </r>
  </si>
  <si>
    <r>
      <t>10% of patients with metastatic cancer have new indication with 2</t>
    </r>
    <r>
      <rPr>
        <sz val="11"/>
        <color rgb="FFFF0000"/>
        <rFont val="Calibri"/>
        <family val="2"/>
        <scheme val="minor"/>
      </rPr>
      <t>0 RVUs</t>
    </r>
  </si>
  <si>
    <t>1.5% of patients with all cancers have new treatment with 20 RVUs</t>
  </si>
  <si>
    <t>Base Projection</t>
  </si>
  <si>
    <t>Live Case</t>
  </si>
  <si>
    <t>Variance</t>
  </si>
  <si>
    <t>Scenario Detail</t>
  </si>
  <si>
    <t>Total RVUs in Average RO Practice 2019</t>
  </si>
  <si>
    <t>Supply Demand Graph</t>
  </si>
  <si>
    <t>Supply/Demand Mismtach in ROs</t>
  </si>
  <si>
    <t>Supply Demand Tables</t>
  </si>
  <si>
    <t>2025 Projection</t>
  </si>
  <si>
    <t>2030 Projection</t>
  </si>
  <si>
    <t>RVUs/RO calculated (not scenario)</t>
  </si>
  <si>
    <t>Payor Mix</t>
  </si>
  <si>
    <t>10% of patients with metastatic cancer have new indication with 20 RVUs</t>
  </si>
  <si>
    <t>Balanced Scenario of High Relative Likelihood</t>
  </si>
  <si>
    <t>High relative likelihood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</si>
</sst>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0.000%"/>
    <numFmt numFmtId="168" formatCode="0.0000%"/>
    <numFmt numFmtId="169" formatCode="_(* #,##0.0000000_);_(* \(#,##0.0000000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73A59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theme="2" tint="-0.74999237037263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3E7A32"/>
        <bgColor indexed="64"/>
      </patternFill>
    </fill>
    <fill>
      <patternFill patternType="solid">
        <fgColor rgb="FF173A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6">
    <xf numFmtId="0" fontId="0" fillId="0" borderId="0" xfId="0"/>
    <xf numFmtId="0" fontId="0" fillId="3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3" fillId="2" borderId="1" xfId="0" applyFont="1" applyFill="1" applyBorder="1" applyAlignment="1">
      <alignment horizontal="center" wrapText="1"/>
    </xf>
    <xf numFmtId="0" fontId="0" fillId="2" borderId="0" xfId="0" applyFill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41" fontId="1" fillId="3" borderId="2" xfId="0" applyNumberFormat="1" applyFont="1" applyFill="1" applyBorder="1" applyAlignment="1">
      <alignment horizontal="center" vertical="center"/>
    </xf>
    <xf numFmtId="0" fontId="0" fillId="0" borderId="8" xfId="0" applyBorder="1"/>
    <xf numFmtId="3" fontId="0" fillId="0" borderId="8" xfId="0" applyNumberFormat="1" applyBorder="1"/>
    <xf numFmtId="3" fontId="1" fillId="3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37" fontId="1" fillId="3" borderId="2" xfId="0" applyNumberFormat="1" applyFont="1" applyFill="1" applyBorder="1" applyAlignment="1">
      <alignment horizontal="center" vertical="center"/>
    </xf>
    <xf numFmtId="165" fontId="1" fillId="3" borderId="0" xfId="1" applyNumberFormat="1" applyFont="1" applyFill="1" applyAlignment="1">
      <alignment horizontal="center" vertical="center"/>
    </xf>
    <xf numFmtId="41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5" fontId="5" fillId="3" borderId="0" xfId="1" applyNumberFormat="1" applyFont="1" applyFill="1" applyAlignment="1">
      <alignment horizontal="center" vertical="center"/>
    </xf>
    <xf numFmtId="37" fontId="0" fillId="0" borderId="0" xfId="0" applyNumberFormat="1"/>
    <xf numFmtId="165" fontId="6" fillId="4" borderId="0" xfId="1" applyNumberFormat="1" applyFont="1" applyFill="1" applyAlignment="1">
      <alignment horizontal="center" vertical="center"/>
    </xf>
    <xf numFmtId="2" fontId="1" fillId="0" borderId="0" xfId="0" applyNumberFormat="1" applyFont="1"/>
    <xf numFmtId="0" fontId="6" fillId="0" borderId="0" xfId="0" applyFont="1"/>
    <xf numFmtId="164" fontId="1" fillId="5" borderId="8" xfId="0" applyNumberFormat="1" applyFont="1" applyFill="1" applyBorder="1"/>
    <xf numFmtId="164" fontId="1" fillId="6" borderId="8" xfId="0" applyNumberFormat="1" applyFont="1" applyFill="1" applyBorder="1"/>
    <xf numFmtId="164" fontId="1" fillId="7" borderId="8" xfId="0" applyNumberFormat="1" applyFont="1" applyFill="1" applyBorder="1"/>
    <xf numFmtId="165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/>
    <xf numFmtId="0" fontId="10" fillId="0" borderId="0" xfId="0" applyFont="1"/>
    <xf numFmtId="0" fontId="0" fillId="0" borderId="13" xfId="0" applyBorder="1"/>
    <xf numFmtId="0" fontId="9" fillId="0" borderId="13" xfId="0" applyFont="1" applyBorder="1"/>
    <xf numFmtId="0" fontId="9" fillId="0" borderId="12" xfId="0" applyFont="1" applyBorder="1"/>
    <xf numFmtId="3" fontId="7" fillId="0" borderId="8" xfId="0" applyNumberFormat="1" applyFont="1" applyBorder="1" applyAlignment="1">
      <alignment horizontal="center"/>
    </xf>
    <xf numFmtId="0" fontId="12" fillId="0" borderId="0" xfId="0" applyFont="1"/>
    <xf numFmtId="9" fontId="12" fillId="0" borderId="0" xfId="0" applyNumberFormat="1" applyFont="1"/>
    <xf numFmtId="3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13" fillId="0" borderId="0" xfId="0" applyFont="1"/>
    <xf numFmtId="0" fontId="11" fillId="0" borderId="8" xfId="0" applyFont="1" applyBorder="1" applyAlignment="1">
      <alignment horizontal="right" vertical="center"/>
    </xf>
    <xf numFmtId="164" fontId="9" fillId="0" borderId="8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/>
    </xf>
    <xf numFmtId="2" fontId="0" fillId="8" borderId="8" xfId="0" applyNumberFormat="1" applyFill="1" applyBorder="1" applyAlignment="1">
      <alignment wrapText="1"/>
    </xf>
    <xf numFmtId="10" fontId="0" fillId="8" borderId="8" xfId="0" applyNumberFormat="1" applyFill="1" applyBorder="1" applyAlignment="1">
      <alignment wrapText="1"/>
    </xf>
    <xf numFmtId="2" fontId="0" fillId="0" borderId="8" xfId="0" applyNumberFormat="1" applyBorder="1" applyAlignment="1">
      <alignment wrapText="1"/>
    </xf>
    <xf numFmtId="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8" xfId="0" applyNumberFormat="1" applyBorder="1"/>
    <xf numFmtId="9" fontId="0" fillId="0" borderId="8" xfId="0" applyNumberFormat="1" applyBorder="1"/>
    <xf numFmtId="0" fontId="0" fillId="0" borderId="0" xfId="0" applyAlignment="1">
      <alignment horizontal="left"/>
    </xf>
    <xf numFmtId="0" fontId="8" fillId="0" borderId="0" xfId="0" applyFont="1"/>
    <xf numFmtId="164" fontId="0" fillId="0" borderId="0" xfId="2" applyNumberFormat="1" applyFont="1"/>
    <xf numFmtId="166" fontId="0" fillId="8" borderId="0" xfId="2" applyNumberFormat="1" applyFont="1" applyFill="1"/>
    <xf numFmtId="43" fontId="0" fillId="0" borderId="0" xfId="0" applyNumberFormat="1"/>
    <xf numFmtId="166" fontId="0" fillId="0" borderId="0" xfId="0" applyNumberFormat="1"/>
    <xf numFmtId="0" fontId="15" fillId="0" borderId="0" xfId="0" applyFont="1"/>
    <xf numFmtId="10" fontId="0" fillId="0" borderId="0" xfId="1" applyNumberFormat="1" applyFont="1"/>
    <xf numFmtId="167" fontId="0" fillId="0" borderId="0" xfId="1" applyNumberFormat="1" applyFont="1"/>
    <xf numFmtId="164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/>
    <xf numFmtId="0" fontId="1" fillId="0" borderId="0" xfId="0" applyFont="1"/>
    <xf numFmtId="166" fontId="0" fillId="0" borderId="0" xfId="2" applyNumberFormat="1" applyFont="1"/>
    <xf numFmtId="164" fontId="8" fillId="0" borderId="0" xfId="2" applyNumberFormat="1" applyFont="1"/>
    <xf numFmtId="3" fontId="17" fillId="9" borderId="0" xfId="0" applyNumberFormat="1" applyFont="1" applyFill="1"/>
    <xf numFmtId="2" fontId="20" fillId="0" borderId="0" xfId="0" applyNumberFormat="1" applyFont="1"/>
    <xf numFmtId="3" fontId="6" fillId="0" borderId="0" xfId="0" applyNumberFormat="1" applyFont="1"/>
    <xf numFmtId="165" fontId="0" fillId="0" borderId="8" xfId="0" applyNumberFormat="1" applyBorder="1" applyAlignment="1">
      <alignment horizontal="center"/>
    </xf>
    <xf numFmtId="164" fontId="1" fillId="3" borderId="0" xfId="0" applyNumberFormat="1" applyFont="1" applyFill="1" applyAlignment="1">
      <alignment horizontal="center" vertical="center"/>
    </xf>
    <xf numFmtId="164" fontId="6" fillId="0" borderId="0" xfId="2" applyNumberFormat="1" applyFont="1"/>
    <xf numFmtId="164" fontId="6" fillId="0" borderId="0" xfId="0" applyNumberFormat="1" applyFont="1"/>
    <xf numFmtId="43" fontId="6" fillId="0" borderId="0" xfId="0" applyNumberFormat="1" applyFont="1"/>
    <xf numFmtId="169" fontId="6" fillId="0" borderId="0" xfId="0" applyNumberFormat="1" applyFont="1"/>
    <xf numFmtId="164" fontId="12" fillId="0" borderId="0" xfId="2" applyNumberFormat="1" applyFont="1" applyAlignment="1">
      <alignment horizontal="center"/>
    </xf>
    <xf numFmtId="168" fontId="12" fillId="0" borderId="0" xfId="1" applyNumberFormat="1" applyFont="1" applyAlignment="1">
      <alignment horizontal="center"/>
    </xf>
    <xf numFmtId="3" fontId="1" fillId="2" borderId="3" xfId="0" applyNumberFormat="1" applyFont="1" applyFill="1" applyBorder="1" applyAlignment="1">
      <alignment horizontal="center" vertical="center"/>
    </xf>
    <xf numFmtId="41" fontId="0" fillId="0" borderId="0" xfId="0" applyNumberFormat="1"/>
    <xf numFmtId="165" fontId="0" fillId="0" borderId="0" xfId="1" applyNumberFormat="1" applyFont="1"/>
    <xf numFmtId="9" fontId="0" fillId="0" borderId="0" xfId="1" applyFont="1" applyAlignment="1">
      <alignment horizontal="center"/>
    </xf>
    <xf numFmtId="164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23" fillId="0" borderId="0" xfId="0" applyFont="1"/>
    <xf numFmtId="0" fontId="22" fillId="0" borderId="0" xfId="0" applyFont="1"/>
    <xf numFmtId="9" fontId="22" fillId="0" borderId="0" xfId="0" applyNumberFormat="1" applyFont="1"/>
    <xf numFmtId="164" fontId="22" fillId="0" borderId="0" xfId="0" applyNumberFormat="1" applyFont="1"/>
    <xf numFmtId="166" fontId="22" fillId="0" borderId="0" xfId="0" applyNumberFormat="1" applyFont="1"/>
    <xf numFmtId="166" fontId="22" fillId="0" borderId="0" xfId="2" applyNumberFormat="1" applyFont="1"/>
    <xf numFmtId="164" fontId="23" fillId="0" borderId="0" xfId="2" applyNumberFormat="1" applyFont="1"/>
    <xf numFmtId="0" fontId="22" fillId="0" borderId="0" xfId="0" applyFont="1" applyAlignment="1">
      <alignment horizontal="right"/>
    </xf>
    <xf numFmtId="43" fontId="22" fillId="0" borderId="0" xfId="0" applyNumberFormat="1" applyFont="1"/>
    <xf numFmtId="37" fontId="0" fillId="0" borderId="8" xfId="0" applyNumberFormat="1" applyBorder="1"/>
    <xf numFmtId="165" fontId="6" fillId="0" borderId="0" xfId="0" applyNumberFormat="1" applyFont="1"/>
    <xf numFmtId="0" fontId="18" fillId="0" borderId="0" xfId="0" applyFont="1"/>
    <xf numFmtId="165" fontId="0" fillId="0" borderId="8" xfId="0" applyNumberFormat="1" applyBorder="1"/>
    <xf numFmtId="170" fontId="0" fillId="0" borderId="0" xfId="0" applyNumberFormat="1"/>
    <xf numFmtId="0" fontId="6" fillId="0" borderId="8" xfId="0" applyFont="1" applyBorder="1"/>
    <xf numFmtId="164" fontId="6" fillId="0" borderId="8" xfId="2" applyNumberFormat="1" applyFont="1" applyBorder="1" applyAlignment="1">
      <alignment horizontal="center"/>
    </xf>
    <xf numFmtId="164" fontId="6" fillId="0" borderId="8" xfId="2" applyNumberFormat="1" applyFont="1" applyFill="1" applyBorder="1" applyAlignment="1">
      <alignment horizontal="center"/>
    </xf>
    <xf numFmtId="164" fontId="6" fillId="0" borderId="8" xfId="2" applyNumberFormat="1" applyFont="1" applyBorder="1"/>
    <xf numFmtId="164" fontId="6" fillId="10" borderId="8" xfId="2" applyNumberFormat="1" applyFont="1" applyFill="1" applyBorder="1" applyAlignment="1">
      <alignment horizontal="center"/>
    </xf>
    <xf numFmtId="164" fontId="6" fillId="10" borderId="8" xfId="2" applyNumberFormat="1" applyFont="1" applyFill="1" applyBorder="1"/>
    <xf numFmtId="164" fontId="6" fillId="0" borderId="8" xfId="2" applyNumberFormat="1" applyFont="1" applyFill="1" applyBorder="1"/>
    <xf numFmtId="0" fontId="24" fillId="11" borderId="0" xfId="0" applyFont="1" applyFill="1"/>
    <xf numFmtId="0" fontId="24" fillId="12" borderId="0" xfId="0" applyFont="1" applyFill="1"/>
    <xf numFmtId="0" fontId="25" fillId="0" borderId="0" xfId="0" applyFont="1"/>
    <xf numFmtId="0" fontId="26" fillId="0" borderId="8" xfId="0" applyFont="1" applyBorder="1" applyAlignment="1">
      <alignment horizontal="center"/>
    </xf>
    <xf numFmtId="0" fontId="6" fillId="0" borderId="0" xfId="0" applyFont="1" applyAlignment="1">
      <alignment horizontal="right"/>
    </xf>
    <xf numFmtId="164" fontId="27" fillId="0" borderId="8" xfId="2" applyNumberFormat="1" applyFont="1" applyFill="1" applyBorder="1"/>
    <xf numFmtId="3" fontId="28" fillId="0" borderId="8" xfId="0" applyNumberFormat="1" applyFont="1" applyBorder="1" applyAlignment="1">
      <alignment horizontal="center"/>
    </xf>
    <xf numFmtId="0" fontId="24" fillId="11" borderId="0" xfId="0" applyFont="1" applyFill="1" applyAlignment="1">
      <alignment horizontal="center"/>
    </xf>
    <xf numFmtId="0" fontId="24" fillId="11" borderId="0" xfId="0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3" fontId="0" fillId="13" borderId="9" xfId="0" applyNumberFormat="1" applyFill="1" applyBorder="1" applyAlignment="1">
      <alignment horizontal="center" wrapText="1"/>
    </xf>
    <xf numFmtId="0" fontId="19" fillId="0" borderId="8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right" vertical="center"/>
    </xf>
    <xf numFmtId="2" fontId="0" fillId="13" borderId="8" xfId="0" applyNumberForma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19" fillId="0" borderId="0" xfId="0" applyFont="1"/>
    <xf numFmtId="0" fontId="31" fillId="0" borderId="0" xfId="0" applyFont="1" applyAlignment="1">
      <alignment horizontal="center"/>
    </xf>
    <xf numFmtId="37" fontId="0" fillId="0" borderId="8" xfId="2" applyNumberFormat="1" applyFont="1" applyBorder="1" applyAlignment="1">
      <alignment horizontal="center"/>
    </xf>
    <xf numFmtId="37" fontId="0" fillId="13" borderId="9" xfId="2" applyNumberFormat="1" applyFont="1" applyFill="1" applyBorder="1" applyAlignment="1" applyProtection="1">
      <alignment horizontal="center"/>
    </xf>
    <xf numFmtId="37" fontId="0" fillId="0" borderId="8" xfId="0" applyNumberForma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1" fillId="0" borderId="0" xfId="0" applyFont="1"/>
    <xf numFmtId="38" fontId="31" fillId="0" borderId="0" xfId="0" applyNumberFormat="1" applyFont="1" applyAlignment="1">
      <alignment horizontal="center" vertical="center"/>
    </xf>
    <xf numFmtId="38" fontId="0" fillId="0" borderId="8" xfId="2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right"/>
    </xf>
    <xf numFmtId="3" fontId="7" fillId="0" borderId="8" xfId="0" applyNumberFormat="1" applyFon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left" vertical="center" wrapText="1"/>
      <protection locked="0"/>
    </xf>
    <xf numFmtId="2" fontId="0" fillId="0" borderId="9" xfId="0" applyNumberFormat="1" applyBorder="1" applyAlignment="1" applyProtection="1">
      <alignment horizontal="left" vertical="center" wrapText="1"/>
      <protection locked="0"/>
    </xf>
    <xf numFmtId="0" fontId="24" fillId="0" borderId="0" xfId="0" applyFont="1"/>
    <xf numFmtId="2" fontId="0" fillId="13" borderId="8" xfId="0" applyNumberFormat="1" applyFill="1" applyBorder="1" applyAlignment="1">
      <alignment horizontal="left" vertical="center" wrapText="1"/>
    </xf>
    <xf numFmtId="2" fontId="0" fillId="13" borderId="8" xfId="0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right" wrapText="1"/>
    </xf>
    <xf numFmtId="2" fontId="0" fillId="0" borderId="9" xfId="0" applyNumberFormat="1" applyBorder="1" applyAlignment="1">
      <alignment vertical="center" wrapText="1"/>
    </xf>
    <xf numFmtId="2" fontId="0" fillId="0" borderId="10" xfId="0" applyNumberFormat="1" applyBorder="1" applyAlignment="1">
      <alignment vertical="center" wrapText="1"/>
    </xf>
    <xf numFmtId="2" fontId="0" fillId="0" borderId="11" xfId="0" applyNumberFormat="1" applyBorder="1" applyAlignment="1">
      <alignment vertical="center" wrapText="1"/>
    </xf>
    <xf numFmtId="164" fontId="19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8" xfId="0" applyFont="1" applyFill="1" applyBorder="1"/>
    <xf numFmtId="0" fontId="1" fillId="6" borderId="8" xfId="0" applyFont="1" applyFill="1" applyBorder="1"/>
    <xf numFmtId="0" fontId="1" fillId="7" borderId="8" xfId="0" applyFont="1" applyFill="1" applyBorder="1"/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2" fontId="0" fillId="0" borderId="8" xfId="0" applyNumberFormat="1" applyBorder="1" applyAlignment="1">
      <alignment vertical="center" wrapText="1"/>
    </xf>
    <xf numFmtId="2" fontId="27" fillId="0" borderId="8" xfId="0" applyNumberFormat="1" applyFont="1" applyBorder="1" applyAlignment="1">
      <alignment vertical="center" wrapText="1"/>
    </xf>
    <xf numFmtId="2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1">
    <dxf>
      <font>
        <color rgb="FF9C0006"/>
      </font>
    </dxf>
  </dxfs>
  <tableStyles count="1" defaultTableStyle="TableStyleMedium2" defaultPivotStyle="PivotStyleLight16">
    <tableStyle name="Invisible" pivot="0" table="0" count="0" xr9:uid="{BC20B420-EB7A-4497-A646-A3FBBD1FB957}"/>
  </tableStyles>
  <colors>
    <mruColors>
      <color rgb="FFFF8F8F"/>
      <color rgb="FF173A59"/>
      <color rgb="FFFFDDDD"/>
      <color rgb="FF3E7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 Supply/Demand in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 Output Fx'!$P$6</c:f>
              <c:strCache>
                <c:ptCount val="1"/>
                <c:pt idx="0">
                  <c:v>Supply in RO*RVU Ratio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Fx'!$Q$6:$AF$6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4743.1484700064048</c:v>
                </c:pt>
                <c:pt idx="6">
                  <c:v>4806.4288838799557</c:v>
                </c:pt>
                <c:pt idx="7">
                  <c:v>4870.5535493735706</c:v>
                </c:pt>
                <c:pt idx="8">
                  <c:v>4935.5337300165857</c:v>
                </c:pt>
                <c:pt idx="9">
                  <c:v>5001.3808396099939</c:v>
                </c:pt>
                <c:pt idx="10">
                  <c:v>5068.1064442313</c:v>
                </c:pt>
                <c:pt idx="11">
                  <c:v>5125.4794262754976</c:v>
                </c:pt>
                <c:pt idx="12">
                  <c:v>5183.5018933107613</c:v>
                </c:pt>
                <c:pt idx="13">
                  <c:v>5242.1811977656816</c:v>
                </c:pt>
                <c:pt idx="14">
                  <c:v>5301.5247753012682</c:v>
                </c:pt>
                <c:pt idx="15">
                  <c:v>5361.5401457531771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29F-B75B-10A95CAF7C40}"/>
            </c:ext>
          </c:extLst>
        </c:ser>
        <c:ser>
          <c:idx val="1"/>
          <c:order val="1"/>
          <c:tx>
            <c:strRef>
              <c:f>'Live Output Fx'!$P$7</c:f>
              <c:strCache>
                <c:ptCount val="1"/>
                <c:pt idx="0">
                  <c:v>Sum of Demand</c:v>
                </c:pt>
              </c:strCache>
            </c:strRef>
          </c:tx>
          <c:spPr>
            <a:ln w="28575" cap="rnd">
              <a:solidFill>
                <a:srgbClr val="173A59"/>
              </a:solidFill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Fx'!$Q$7:$AF$7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4771.2189283917332</c:v>
                </c:pt>
                <c:pt idx="6">
                  <c:v>4810.4364287269018</c:v>
                </c:pt>
                <c:pt idx="7">
                  <c:v>4856.666273790468</c:v>
                </c:pt>
                <c:pt idx="8">
                  <c:v>4910.4196794854588</c:v>
                </c:pt>
                <c:pt idx="9">
                  <c:v>4972.246488531352</c:v>
                </c:pt>
                <c:pt idx="10">
                  <c:v>5042.7380819935242</c:v>
                </c:pt>
                <c:pt idx="11">
                  <c:v>5129.0475565302595</c:v>
                </c:pt>
                <c:pt idx="12">
                  <c:v>5225.9798659076814</c:v>
                </c:pt>
                <c:pt idx="13">
                  <c:v>5334.3353349273002</c:v>
                </c:pt>
                <c:pt idx="14">
                  <c:v>5454.9763988854793</c:v>
                </c:pt>
                <c:pt idx="15">
                  <c:v>5588.8324175487824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3-429F-B75B-10A95CAF7C40}"/>
            </c:ext>
          </c:extLst>
        </c:ser>
        <c:ser>
          <c:idx val="5"/>
          <c:order val="5"/>
          <c:tx>
            <c:strRef>
              <c:f>'Live Output Fx'!$P$12</c:f>
              <c:strCache>
                <c:ptCount val="1"/>
                <c:pt idx="0">
                  <c:v>Number of ROs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Fx'!$Q$12:$AF$12</c:f>
              <c:numCache>
                <c:formatCode>_(* #,##0_);_(* \(#,##0\);_(* "-"??_);_(@_)</c:formatCode>
                <c:ptCount val="16"/>
                <c:pt idx="0">
                  <c:v>4424</c:v>
                </c:pt>
                <c:pt idx="1">
                  <c:v>4503</c:v>
                </c:pt>
                <c:pt idx="2">
                  <c:v>4608</c:v>
                </c:pt>
                <c:pt idx="3">
                  <c:v>4649</c:v>
                </c:pt>
                <c:pt idx="4">
                  <c:v>4691</c:v>
                </c:pt>
                <c:pt idx="5">
                  <c:v>4718</c:v>
                </c:pt>
                <c:pt idx="6">
                  <c:v>4755.5960281308016</c:v>
                </c:pt>
                <c:pt idx="7">
                  <c:v>4793.4916453525766</c:v>
                </c:pt>
                <c:pt idx="8">
                  <c:v>4831.6892389819623</c:v>
                </c:pt>
                <c:pt idx="9">
                  <c:v>4870.191215359253</c:v>
                </c:pt>
                <c:pt idx="10">
                  <c:v>4909</c:v>
                </c:pt>
                <c:pt idx="11">
                  <c:v>4938.2493632340793</c:v>
                </c:pt>
                <c:pt idx="12">
                  <c:v>4967.673003357464</c:v>
                </c:pt>
                <c:pt idx="13">
                  <c:v>4997.2719587665761</c:v>
                </c:pt>
                <c:pt idx="14">
                  <c:v>5027.0472740449304</c:v>
                </c:pt>
                <c:pt idx="15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13-429F-B75B-10A95CAF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403696"/>
        <c:axId val="130240452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'Live Output Fx'!$P$8</c15:sqref>
                        </c15:formulaRef>
                      </c:ext>
                    </c:extLst>
                    <c:strCache>
                      <c:ptCount val="1"/>
                      <c:pt idx="0">
                        <c:v>Medicare FFS demand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'Live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'Live Output Fx'!$Q$8:$AF$8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1800.7966489999999</c:v>
                      </c:pt>
                      <c:pt idx="1">
                        <c:v>1839.6475190000001</c:v>
                      </c:pt>
                      <c:pt idx="2">
                        <c:v>1834.4624719999999</c:v>
                      </c:pt>
                      <c:pt idx="3">
                        <c:v>1847.4061730000001</c:v>
                      </c:pt>
                      <c:pt idx="4">
                        <c:v>1883.2942780000001</c:v>
                      </c:pt>
                      <c:pt idx="5">
                        <c:v>1895.4513330900293</c:v>
                      </c:pt>
                      <c:pt idx="6">
                        <c:v>1889.0188950938389</c:v>
                      </c:pt>
                      <c:pt idx="7">
                        <c:v>1883.136001913279</c:v>
                      </c:pt>
                      <c:pt idx="8">
                        <c:v>1877.8560068078648</c:v>
                      </c:pt>
                      <c:pt idx="9">
                        <c:v>1873.2313072894019</c:v>
                      </c:pt>
                      <c:pt idx="10">
                        <c:v>1869.3127923078275</c:v>
                      </c:pt>
                      <c:pt idx="11">
                        <c:v>1869.9721538732144</c:v>
                      </c:pt>
                      <c:pt idx="12">
                        <c:v>1871.47381030356</c:v>
                      </c:pt>
                      <c:pt idx="13">
                        <c:v>1873.8654468052346</c:v>
                      </c:pt>
                      <c:pt idx="14">
                        <c:v>1877.1908408264351</c:v>
                      </c:pt>
                      <c:pt idx="15">
                        <c:v>1881.4893037770814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913-429F-B75B-10A95CAF7C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Fx'!$P$9</c15:sqref>
                        </c15:formulaRef>
                      </c:ext>
                    </c:extLst>
                    <c:strCache>
                      <c:ptCount val="1"/>
                      <c:pt idx="0">
                        <c:v>Medicare Managed demand</c:v>
                      </c:pt>
                    </c:strCache>
                  </c:strRef>
                </c:tx>
                <c:spPr>
                  <a:ln w="28575" cap="rnd">
                    <a:solidFill>
                      <a:srgbClr val="7030A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Fx'!$Q$9:$AF$9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814.49919999999997</c:v>
                      </c:pt>
                      <c:pt idx="1">
                        <c:v>862.70349999999996</c:v>
                      </c:pt>
                      <c:pt idx="2">
                        <c:v>927.90340000000003</c:v>
                      </c:pt>
                      <c:pt idx="3">
                        <c:v>1008.8173</c:v>
                      </c:pt>
                      <c:pt idx="4">
                        <c:v>1110.3507999999999</c:v>
                      </c:pt>
                      <c:pt idx="5">
                        <c:v>1194.0806748045029</c:v>
                      </c:pt>
                      <c:pt idx="6">
                        <c:v>1271.5584909702156</c:v>
                      </c:pt>
                      <c:pt idx="7">
                        <c:v>1354.4430069140942</c:v>
                      </c:pt>
                      <c:pt idx="8">
                        <c:v>1443.1794803514595</c:v>
                      </c:pt>
                      <c:pt idx="9">
                        <c:v>1538.2554901422905</c:v>
                      </c:pt>
                      <c:pt idx="10">
                        <c:v>1640.2047034027753</c:v>
                      </c:pt>
                      <c:pt idx="11">
                        <c:v>1753.1949984474636</c:v>
                      </c:pt>
                      <c:pt idx="12">
                        <c:v>1874.8125247487083</c:v>
                      </c:pt>
                      <c:pt idx="13">
                        <c:v>2005.8179063376106</c:v>
                      </c:pt>
                      <c:pt idx="14">
                        <c:v>2147.0419804535936</c:v>
                      </c:pt>
                      <c:pt idx="15">
                        <c:v>2299.3912372978107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3-429F-B75B-10A95CAF7C40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Fx'!$P$11</c15:sqref>
                        </c15:formulaRef>
                      </c:ext>
                    </c:extLst>
                    <c:strCache>
                      <c:ptCount val="1"/>
                      <c:pt idx="0">
                        <c:v>All other demand</c:v>
                      </c:pt>
                    </c:strCache>
                  </c:strRef>
                </c:tx>
                <c:spPr>
                  <a:ln w="28575" cap="rnd">
                    <a:solidFill>
                      <a:srgbClr val="00B0F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Fx'!$Q$11:$AF$11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1715.6224189183854</c:v>
                      </c:pt>
                      <c:pt idx="1">
                        <c:v>1711.0555446887893</c:v>
                      </c:pt>
                      <c:pt idx="2">
                        <c:v>1706.4886704591927</c:v>
                      </c:pt>
                      <c:pt idx="3">
                        <c:v>1701.9217962295961</c:v>
                      </c:pt>
                      <c:pt idx="4">
                        <c:v>1697.354922</c:v>
                      </c:pt>
                      <c:pt idx="5">
                        <c:v>1681.6869204972011</c:v>
                      </c:pt>
                      <c:pt idx="6">
                        <c:v>1649.8590426628466</c:v>
                      </c:pt>
                      <c:pt idx="7">
                        <c:v>1619.0872649630944</c:v>
                      </c:pt>
                      <c:pt idx="8">
                        <c:v>1589.3841923261346</c:v>
                      </c:pt>
                      <c:pt idx="9">
                        <c:v>1560.7596910996599</c:v>
                      </c:pt>
                      <c:pt idx="10">
                        <c:v>1533.2205862829214</c:v>
                      </c:pt>
                      <c:pt idx="11">
                        <c:v>1505.8804042095815</c:v>
                      </c:pt>
                      <c:pt idx="12">
                        <c:v>1479.693530855413</c:v>
                      </c:pt>
                      <c:pt idx="13">
                        <c:v>1454.6519817844555</c:v>
                      </c:pt>
                      <c:pt idx="14">
                        <c:v>1430.7435776054504</c:v>
                      </c:pt>
                      <c:pt idx="15">
                        <c:v>1407.9518764738903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913-429F-B75B-10A95CAF7C4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6"/>
          <c:order val="6"/>
          <c:tx>
            <c:strRef>
              <c:f>'Live Output Fx'!$P$13</c:f>
              <c:strCache>
                <c:ptCount val="1"/>
                <c:pt idx="0">
                  <c:v>RVUs per RO Secondary Axis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Fx'!$Q$13:$AF$13</c:f>
              <c:numCache>
                <c:formatCode>_(* #,##0_);_(* \(#,##0\);_(* "-"??_);_(@_)</c:formatCode>
                <c:ptCount val="16"/>
                <c:pt idx="0">
                  <c:v>9789.5982547883941</c:v>
                </c:pt>
                <c:pt idx="1">
                  <c:v>9801.0361174523405</c:v>
                </c:pt>
                <c:pt idx="2">
                  <c:v>9698.0350313784566</c:v>
                </c:pt>
                <c:pt idx="3">
                  <c:v>9804.5714545700066</c:v>
                </c:pt>
                <c:pt idx="4">
                  <c:v>10000</c:v>
                </c:pt>
                <c:pt idx="5">
                  <c:v>10053.303242913109</c:v>
                </c:pt>
                <c:pt idx="6">
                  <c:v>10106.890609396723</c:v>
                </c:pt>
                <c:pt idx="7">
                  <c:v>10160.763613921614</c:v>
                </c:pt>
                <c:pt idx="8">
                  <c:v>10214.923779031169</c:v>
                </c:pt>
                <c:pt idx="9">
                  <c:v>10269.372635384429</c:v>
                </c:pt>
                <c:pt idx="10">
                  <c:v>10324.111721799347</c:v>
                </c:pt>
                <c:pt idx="11">
                  <c:v>10379.142585296262</c:v>
                </c:pt>
                <c:pt idx="12">
                  <c:v>10434.466781141648</c:v>
                </c:pt>
                <c:pt idx="13">
                  <c:v>10490.085872892045</c:v>
                </c:pt>
                <c:pt idx="14">
                  <c:v>10546.001432438259</c:v>
                </c:pt>
                <c:pt idx="15">
                  <c:v>10602.215040049787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13-429F-B75B-10A95CAF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51728"/>
        <c:axId val="812550064"/>
      </c:lineChart>
      <c:catAx>
        <c:axId val="13024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4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02404528"/>
        <c:scaling>
          <c:orientation val="minMax"/>
          <c:max val="75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bg1"/>
                    </a:solidFill>
                  </a:rPr>
                  <a:t>ROs</a:t>
                </a:r>
                <a:r>
                  <a:rPr lang="en-US" sz="2000" baseline="0">
                    <a:solidFill>
                      <a:schemeClr val="bg1"/>
                    </a:solidFill>
                  </a:rPr>
                  <a:t> (or ROs*RVU Ratio)</a:t>
                </a:r>
                <a:r>
                  <a:rPr lang="en-US" sz="2000">
                    <a:solidFill>
                      <a:schemeClr val="bg1"/>
                    </a:solidFill>
                  </a:rPr>
                  <a:t> </a:t>
                </a:r>
                <a:r>
                  <a:rPr lang="en-US" sz="2000" baseline="0">
                    <a:solidFill>
                      <a:schemeClr val="bg1"/>
                    </a:solidFill>
                  </a:rPr>
                  <a:t> </a:t>
                </a:r>
                <a:endParaRPr lang="en-US" sz="2000">
                  <a:solidFill>
                    <a:schemeClr val="bg1"/>
                  </a:solidFill>
                </a:endParaRPr>
              </a:p>
            </c:rich>
          </c:tx>
          <c:layout>
            <c:manualLayout>
              <c:xMode val="edge"/>
              <c:yMode val="edge"/>
              <c:x val="4.488860733036849E-3"/>
              <c:y val="0.20225373299697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173A5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3696"/>
        <c:crosses val="autoZero"/>
        <c:crossBetween val="between"/>
        <c:majorUnit val="1000"/>
      </c:valAx>
      <c:valAx>
        <c:axId val="812550064"/>
        <c:scaling>
          <c:orientation val="minMax"/>
          <c:max val="15000"/>
          <c:min val="5000"/>
        </c:scaling>
        <c:delete val="0"/>
        <c:axPos val="r"/>
        <c:majorGridlines>
          <c:spPr>
            <a:ln w="9525" cap="flat" cmpd="sng" algn="ctr">
              <a:solidFill>
                <a:srgbClr val="FFDDDD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rgbClr val="FFDDDD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rgbClr val="FF8F8F"/>
                    </a:solidFill>
                  </a:rPr>
                  <a:t>RVUs per 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rgbClr val="FFDDDD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8F8F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51728"/>
        <c:crosses val="max"/>
        <c:crossBetween val="between"/>
      </c:valAx>
      <c:catAx>
        <c:axId val="81255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255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Average Payer</a:t>
            </a:r>
            <a:r>
              <a:rPr lang="en-US" baseline="0"/>
              <a:t> Mix 2019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D-4511-ADD3-BDD2ACFCDE7C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DCD-4511-ADD3-BDD2ACFCDE7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CD-4511-ADD3-BDD2ACFCDE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'Base Output Fx'!$J$27:$J$29</c:f>
              <c:strCache>
                <c:ptCount val="3"/>
                <c:pt idx="0">
                  <c:v>Medicare FFS</c:v>
                </c:pt>
                <c:pt idx="1">
                  <c:v>Managed Medicare</c:v>
                </c:pt>
                <c:pt idx="2">
                  <c:v>All other</c:v>
                </c:pt>
              </c:strCache>
            </c:strRef>
          </c:cat>
          <c:val>
            <c:numRef>
              <c:f>'Base Output Fx'!$K$27:$K$29</c:f>
              <c:numCache>
                <c:formatCode>0%</c:formatCode>
                <c:ptCount val="3"/>
                <c:pt idx="0">
                  <c:v>0.40146968194414839</c:v>
                </c:pt>
                <c:pt idx="1">
                  <c:v>0.23669810274994671</c:v>
                </c:pt>
                <c:pt idx="2">
                  <c:v>0.36183221530590493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D-4511-ADD3-BDD2ACFCD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 Supply/Demand in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 Output Fx'!$P$6</c:f>
              <c:strCache>
                <c:ptCount val="1"/>
                <c:pt idx="0">
                  <c:v>Supply in RO*RVU Ratio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Fx'!$Q$6:$AF$6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4743.1484700064048</c:v>
                </c:pt>
                <c:pt idx="6">
                  <c:v>4806.4288838799557</c:v>
                </c:pt>
                <c:pt idx="7">
                  <c:v>4870.5535493735706</c:v>
                </c:pt>
                <c:pt idx="8">
                  <c:v>4935.5337300165857</c:v>
                </c:pt>
                <c:pt idx="9">
                  <c:v>5001.3808396099939</c:v>
                </c:pt>
                <c:pt idx="10">
                  <c:v>5068.1064442313</c:v>
                </c:pt>
                <c:pt idx="11">
                  <c:v>5125.4794262754976</c:v>
                </c:pt>
                <c:pt idx="12">
                  <c:v>5183.5018933107613</c:v>
                </c:pt>
                <c:pt idx="13">
                  <c:v>5242.1811977656816</c:v>
                </c:pt>
                <c:pt idx="14">
                  <c:v>5301.5247753012682</c:v>
                </c:pt>
                <c:pt idx="15">
                  <c:v>5361.5401457531771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5-48CC-BAE1-4DE2A6CBEC31}"/>
            </c:ext>
          </c:extLst>
        </c:ser>
        <c:ser>
          <c:idx val="1"/>
          <c:order val="1"/>
          <c:tx>
            <c:strRef>
              <c:f>'Live Output Fx'!$P$7</c:f>
              <c:strCache>
                <c:ptCount val="1"/>
                <c:pt idx="0">
                  <c:v>Sum of Demand</c:v>
                </c:pt>
              </c:strCache>
            </c:strRef>
          </c:tx>
          <c:spPr>
            <a:ln w="28575" cap="rnd">
              <a:solidFill>
                <a:srgbClr val="173A59"/>
              </a:solidFill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Fx'!$Q$7:$AF$7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4771.2189283917332</c:v>
                </c:pt>
                <c:pt idx="6">
                  <c:v>4810.4364287269018</c:v>
                </c:pt>
                <c:pt idx="7">
                  <c:v>4856.666273790468</c:v>
                </c:pt>
                <c:pt idx="8">
                  <c:v>4910.4196794854588</c:v>
                </c:pt>
                <c:pt idx="9">
                  <c:v>4972.246488531352</c:v>
                </c:pt>
                <c:pt idx="10">
                  <c:v>5042.7380819935242</c:v>
                </c:pt>
                <c:pt idx="11">
                  <c:v>5129.0475565302595</c:v>
                </c:pt>
                <c:pt idx="12">
                  <c:v>5225.9798659076814</c:v>
                </c:pt>
                <c:pt idx="13">
                  <c:v>5334.3353349273002</c:v>
                </c:pt>
                <c:pt idx="14">
                  <c:v>5454.9763988854793</c:v>
                </c:pt>
                <c:pt idx="15">
                  <c:v>5588.8324175487824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5-48CC-BAE1-4DE2A6CBEC31}"/>
            </c:ext>
          </c:extLst>
        </c:ser>
        <c:ser>
          <c:idx val="2"/>
          <c:order val="2"/>
          <c:tx>
            <c:strRef>
              <c:f>'Live Output Fx'!$P$8</c:f>
              <c:strCache>
                <c:ptCount val="1"/>
                <c:pt idx="0">
                  <c:v>Medicare FFS demand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Fx'!$Q$8:$AF$8</c:f>
              <c:numCache>
                <c:formatCode>_(* #,##0_);_(* \(#,##0\);_(* "-"??_);_(@_)</c:formatCode>
                <c:ptCount val="16"/>
                <c:pt idx="0">
                  <c:v>1800.7966489999999</c:v>
                </c:pt>
                <c:pt idx="1">
                  <c:v>1839.6475190000001</c:v>
                </c:pt>
                <c:pt idx="2">
                  <c:v>1834.4624719999999</c:v>
                </c:pt>
                <c:pt idx="3">
                  <c:v>1847.4061730000001</c:v>
                </c:pt>
                <c:pt idx="4">
                  <c:v>1883.2942780000001</c:v>
                </c:pt>
                <c:pt idx="5">
                  <c:v>1895.4513330900293</c:v>
                </c:pt>
                <c:pt idx="6">
                  <c:v>1889.0188950938389</c:v>
                </c:pt>
                <c:pt idx="7">
                  <c:v>1883.136001913279</c:v>
                </c:pt>
                <c:pt idx="8">
                  <c:v>1877.8560068078648</c:v>
                </c:pt>
                <c:pt idx="9">
                  <c:v>1873.2313072894019</c:v>
                </c:pt>
                <c:pt idx="10">
                  <c:v>1869.3127923078275</c:v>
                </c:pt>
                <c:pt idx="11">
                  <c:v>1869.9721538732144</c:v>
                </c:pt>
                <c:pt idx="12">
                  <c:v>1871.47381030356</c:v>
                </c:pt>
                <c:pt idx="13">
                  <c:v>1873.8654468052346</c:v>
                </c:pt>
                <c:pt idx="14">
                  <c:v>1877.1908408264351</c:v>
                </c:pt>
                <c:pt idx="15">
                  <c:v>1881.4893037770814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5-48CC-BAE1-4DE2A6CBEC31}"/>
            </c:ext>
          </c:extLst>
        </c:ser>
        <c:ser>
          <c:idx val="3"/>
          <c:order val="3"/>
          <c:tx>
            <c:strRef>
              <c:f>'Live Output Fx'!$P$9</c:f>
              <c:strCache>
                <c:ptCount val="1"/>
                <c:pt idx="0">
                  <c:v>Medicare Managed demand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Fx'!$Q$9:$AF$9</c:f>
              <c:numCache>
                <c:formatCode>_(* #,##0_);_(* \(#,##0\);_(* "-"??_);_(@_)</c:formatCode>
                <c:ptCount val="16"/>
                <c:pt idx="0">
                  <c:v>814.49919999999997</c:v>
                </c:pt>
                <c:pt idx="1">
                  <c:v>862.70349999999996</c:v>
                </c:pt>
                <c:pt idx="2">
                  <c:v>927.90340000000003</c:v>
                </c:pt>
                <c:pt idx="3">
                  <c:v>1008.8173</c:v>
                </c:pt>
                <c:pt idx="4">
                  <c:v>1110.3507999999999</c:v>
                </c:pt>
                <c:pt idx="5">
                  <c:v>1194.0806748045029</c:v>
                </c:pt>
                <c:pt idx="6">
                  <c:v>1271.5584909702156</c:v>
                </c:pt>
                <c:pt idx="7">
                  <c:v>1354.4430069140942</c:v>
                </c:pt>
                <c:pt idx="8">
                  <c:v>1443.1794803514595</c:v>
                </c:pt>
                <c:pt idx="9">
                  <c:v>1538.2554901422905</c:v>
                </c:pt>
                <c:pt idx="10">
                  <c:v>1640.2047034027753</c:v>
                </c:pt>
                <c:pt idx="11">
                  <c:v>1753.1949984474636</c:v>
                </c:pt>
                <c:pt idx="12">
                  <c:v>1874.8125247487083</c:v>
                </c:pt>
                <c:pt idx="13">
                  <c:v>2005.8179063376106</c:v>
                </c:pt>
                <c:pt idx="14">
                  <c:v>2147.0419804535936</c:v>
                </c:pt>
                <c:pt idx="15">
                  <c:v>2299.3912372978107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5-48CC-BAE1-4DE2A6CBEC31}"/>
            </c:ext>
          </c:extLst>
        </c:ser>
        <c:ser>
          <c:idx val="4"/>
          <c:order val="4"/>
          <c:tx>
            <c:strRef>
              <c:f>'Live Output Fx'!$P$11</c:f>
              <c:strCache>
                <c:ptCount val="1"/>
                <c:pt idx="0">
                  <c:v>All other demand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Fx'!$Q$11:$AF$11</c:f>
              <c:numCache>
                <c:formatCode>_(* #,##0_);_(* \(#,##0\);_(* "-"??_);_(@_)</c:formatCode>
                <c:ptCount val="16"/>
                <c:pt idx="0">
                  <c:v>1715.6224189183854</c:v>
                </c:pt>
                <c:pt idx="1">
                  <c:v>1711.0555446887893</c:v>
                </c:pt>
                <c:pt idx="2">
                  <c:v>1706.4886704591927</c:v>
                </c:pt>
                <c:pt idx="3">
                  <c:v>1701.9217962295961</c:v>
                </c:pt>
                <c:pt idx="4">
                  <c:v>1697.354922</c:v>
                </c:pt>
                <c:pt idx="5">
                  <c:v>1681.6869204972011</c:v>
                </c:pt>
                <c:pt idx="6">
                  <c:v>1649.8590426628466</c:v>
                </c:pt>
                <c:pt idx="7">
                  <c:v>1619.0872649630944</c:v>
                </c:pt>
                <c:pt idx="8">
                  <c:v>1589.3841923261346</c:v>
                </c:pt>
                <c:pt idx="9">
                  <c:v>1560.7596910996599</c:v>
                </c:pt>
                <c:pt idx="10">
                  <c:v>1533.2205862829214</c:v>
                </c:pt>
                <c:pt idx="11">
                  <c:v>1505.8804042095815</c:v>
                </c:pt>
                <c:pt idx="12">
                  <c:v>1479.693530855413</c:v>
                </c:pt>
                <c:pt idx="13">
                  <c:v>1454.6519817844555</c:v>
                </c:pt>
                <c:pt idx="14">
                  <c:v>1430.7435776054504</c:v>
                </c:pt>
                <c:pt idx="15">
                  <c:v>1407.9518764738903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5-48CC-BAE1-4DE2A6CBEC31}"/>
            </c:ext>
          </c:extLst>
        </c:ser>
        <c:ser>
          <c:idx val="5"/>
          <c:order val="5"/>
          <c:tx>
            <c:strRef>
              <c:f>'Live Output Fx'!$P$12</c:f>
              <c:strCache>
                <c:ptCount val="1"/>
                <c:pt idx="0">
                  <c:v>Number of ROs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Fx'!$Q$12:$AF$12</c:f>
              <c:numCache>
                <c:formatCode>_(* #,##0_);_(* \(#,##0\);_(* "-"??_);_(@_)</c:formatCode>
                <c:ptCount val="16"/>
                <c:pt idx="0">
                  <c:v>4424</c:v>
                </c:pt>
                <c:pt idx="1">
                  <c:v>4503</c:v>
                </c:pt>
                <c:pt idx="2">
                  <c:v>4608</c:v>
                </c:pt>
                <c:pt idx="3">
                  <c:v>4649</c:v>
                </c:pt>
                <c:pt idx="4">
                  <c:v>4691</c:v>
                </c:pt>
                <c:pt idx="5">
                  <c:v>4718</c:v>
                </c:pt>
                <c:pt idx="6">
                  <c:v>4755.5960281308016</c:v>
                </c:pt>
                <c:pt idx="7">
                  <c:v>4793.4916453525766</c:v>
                </c:pt>
                <c:pt idx="8">
                  <c:v>4831.6892389819623</c:v>
                </c:pt>
                <c:pt idx="9">
                  <c:v>4870.191215359253</c:v>
                </c:pt>
                <c:pt idx="10">
                  <c:v>4909</c:v>
                </c:pt>
                <c:pt idx="11">
                  <c:v>4938.2493632340793</c:v>
                </c:pt>
                <c:pt idx="12">
                  <c:v>4967.673003357464</c:v>
                </c:pt>
                <c:pt idx="13">
                  <c:v>4997.2719587665761</c:v>
                </c:pt>
                <c:pt idx="14">
                  <c:v>5027.0472740449304</c:v>
                </c:pt>
                <c:pt idx="15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75-48CC-BAE1-4DE2A6CB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403696"/>
        <c:axId val="1302404528"/>
      </c:lineChart>
      <c:lineChart>
        <c:grouping val="standard"/>
        <c:varyColors val="0"/>
        <c:ser>
          <c:idx val="6"/>
          <c:order val="6"/>
          <c:tx>
            <c:strRef>
              <c:f>'Live Output Fx'!$P$13</c:f>
              <c:strCache>
                <c:ptCount val="1"/>
                <c:pt idx="0">
                  <c:v>RVUs per RO Secondary Axis</c:v>
                </c:pt>
              </c:strCache>
            </c:strRef>
          </c:tx>
          <c:spPr>
            <a:ln w="28575" cap="rnd">
              <a:solidFill>
                <a:srgbClr val="FFDDDD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Fx'!$Q$13:$AF$13</c:f>
              <c:numCache>
                <c:formatCode>_(* #,##0_);_(* \(#,##0\);_(* "-"??_);_(@_)</c:formatCode>
                <c:ptCount val="16"/>
                <c:pt idx="0">
                  <c:v>9789.5982547883941</c:v>
                </c:pt>
                <c:pt idx="1">
                  <c:v>9801.0361174523405</c:v>
                </c:pt>
                <c:pt idx="2">
                  <c:v>9698.0350313784566</c:v>
                </c:pt>
                <c:pt idx="3">
                  <c:v>9804.5714545700066</c:v>
                </c:pt>
                <c:pt idx="4">
                  <c:v>10000</c:v>
                </c:pt>
                <c:pt idx="5">
                  <c:v>10053.303242913109</c:v>
                </c:pt>
                <c:pt idx="6">
                  <c:v>10106.890609396723</c:v>
                </c:pt>
                <c:pt idx="7">
                  <c:v>10160.763613921614</c:v>
                </c:pt>
                <c:pt idx="8">
                  <c:v>10214.923779031169</c:v>
                </c:pt>
                <c:pt idx="9">
                  <c:v>10269.372635384429</c:v>
                </c:pt>
                <c:pt idx="10">
                  <c:v>10324.111721799347</c:v>
                </c:pt>
                <c:pt idx="11">
                  <c:v>10379.142585296262</c:v>
                </c:pt>
                <c:pt idx="12">
                  <c:v>10434.466781141648</c:v>
                </c:pt>
                <c:pt idx="13">
                  <c:v>10490.085872892045</c:v>
                </c:pt>
                <c:pt idx="14">
                  <c:v>10546.001432438259</c:v>
                </c:pt>
                <c:pt idx="15">
                  <c:v>10602.215040049787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75-48CC-BAE1-4DE2A6CB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51728"/>
        <c:axId val="812550064"/>
      </c:lineChart>
      <c:catAx>
        <c:axId val="13024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4528"/>
        <c:crosses val="autoZero"/>
        <c:auto val="1"/>
        <c:lblAlgn val="ctr"/>
        <c:lblOffset val="100"/>
        <c:noMultiLvlLbl val="0"/>
      </c:catAx>
      <c:valAx>
        <c:axId val="1302404528"/>
        <c:scaling>
          <c:orientation val="minMax"/>
          <c:max val="75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ROs</a:t>
                </a:r>
                <a:r>
                  <a:rPr lang="en-US" sz="2000" baseline="0"/>
                  <a:t> (or ROs*RVU Ratio)</a:t>
                </a:r>
                <a:r>
                  <a:rPr lang="en-US" sz="2000"/>
                  <a:t> </a:t>
                </a:r>
                <a:r>
                  <a:rPr lang="en-US" sz="2000" baseline="0"/>
                  <a:t> 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4.488860733036849E-3"/>
              <c:y val="0.20225373299697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173A5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3696"/>
        <c:crosses val="autoZero"/>
        <c:crossBetween val="between"/>
        <c:majorUnit val="1000"/>
      </c:valAx>
      <c:valAx>
        <c:axId val="812550064"/>
        <c:scaling>
          <c:orientation val="minMax"/>
          <c:max val="15000"/>
          <c:min val="5000"/>
        </c:scaling>
        <c:delete val="0"/>
        <c:axPos val="r"/>
        <c:majorGridlines>
          <c:spPr>
            <a:ln w="9525" cap="flat" cmpd="sng" algn="ctr">
              <a:solidFill>
                <a:srgbClr val="FFDDDD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rgbClr val="FFDDDD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rgbClr val="FF8F8F"/>
                    </a:solidFill>
                  </a:rPr>
                  <a:t>RVUs per 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rgbClr val="FFDDDD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8F8F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51728"/>
        <c:crosses val="max"/>
        <c:crossBetween val="between"/>
      </c:valAx>
      <c:catAx>
        <c:axId val="81255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255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Average Payer</a:t>
            </a:r>
            <a:r>
              <a:rPr lang="en-US" baseline="0"/>
              <a:t> Mix 2019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8-4BEB-9860-885B461FBBA7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98-4BEB-9860-885B461FBBA7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98-4BEB-9860-885B461FBB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'Live Output Fx'!$J$27:$J$29</c:f>
              <c:strCache>
                <c:ptCount val="3"/>
                <c:pt idx="0">
                  <c:v>Medicare FFS</c:v>
                </c:pt>
                <c:pt idx="1">
                  <c:v>Managed Medicare</c:v>
                </c:pt>
                <c:pt idx="2">
                  <c:v>All other</c:v>
                </c:pt>
              </c:strCache>
            </c:strRef>
          </c:cat>
          <c:val>
            <c:numRef>
              <c:f>'Live Output Fx'!$K$27:$K$29</c:f>
              <c:numCache>
                <c:formatCode>0%</c:formatCode>
                <c:ptCount val="3"/>
                <c:pt idx="0">
                  <c:v>0.40146968194414839</c:v>
                </c:pt>
                <c:pt idx="1">
                  <c:v>0.23669810274994671</c:v>
                </c:pt>
                <c:pt idx="2">
                  <c:v>0.36183221530590493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98-4BEB-9860-885B461FB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 Relative Likelihood Supply/Demand in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'Base Output Fx'!$P$6</c:f>
              <c:strCache>
                <c:ptCount val="1"/>
                <c:pt idx="0">
                  <c:v>Supply in RO*RVU Ratio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Fx'!$Q$6:$AF$6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4785.4744732228974</c:v>
                </c:pt>
                <c:pt idx="6">
                  <c:v>4892.5930094576906</c:v>
                </c:pt>
                <c:pt idx="7">
                  <c:v>5002.1092976540258</c:v>
                </c:pt>
                <c:pt idx="8">
                  <c:v>5114.0770093301244</c:v>
                </c:pt>
                <c:pt idx="9">
                  <c:v>5228.5510173928014</c:v>
                </c:pt>
                <c:pt idx="10">
                  <c:v>5345.5874230294758</c:v>
                </c:pt>
                <c:pt idx="11">
                  <c:v>5454.3435380436631</c:v>
                </c:pt>
                <c:pt idx="12">
                  <c:v>5565.3122990435868</c:v>
                </c:pt>
                <c:pt idx="13">
                  <c:v>5678.5387223693206</c:v>
                </c:pt>
                <c:pt idx="14">
                  <c:v>5794.0687402195408</c:v>
                </c:pt>
                <c:pt idx="15">
                  <c:v>5911.9492192847019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E-4DA4-8035-3F8B2B376E5C}"/>
            </c:ext>
          </c:extLst>
        </c:ser>
        <c:ser>
          <c:idx val="1"/>
          <c:order val="1"/>
          <c:tx>
            <c:strRef>
              <c:f>'Base Output Fx'!$P$7</c:f>
              <c:strCache>
                <c:ptCount val="1"/>
                <c:pt idx="0">
                  <c:v>Sum of Demand</c:v>
                </c:pt>
              </c:strCache>
            </c:strRef>
          </c:tx>
          <c:spPr>
            <a:ln w="28575" cap="rnd">
              <a:solidFill>
                <a:srgbClr val="173A59"/>
              </a:solidFill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Fx'!$Q$7:$AF$7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4779.3191659090071</c:v>
                </c:pt>
                <c:pt idx="6">
                  <c:v>4862.7064482811002</c:v>
                </c:pt>
                <c:pt idx="7">
                  <c:v>4953.3832860733728</c:v>
                </c:pt>
                <c:pt idx="8">
                  <c:v>5051.8954034315229</c:v>
                </c:pt>
                <c:pt idx="9">
                  <c:v>5158.8305170550902</c:v>
                </c:pt>
                <c:pt idx="10">
                  <c:v>5274.8215676706022</c:v>
                </c:pt>
                <c:pt idx="11">
                  <c:v>5406.7134705544868</c:v>
                </c:pt>
                <c:pt idx="12">
                  <c:v>5549.597830533512</c:v>
                </c:pt>
                <c:pt idx="13">
                  <c:v>5704.3202580631132</c:v>
                </c:pt>
                <c:pt idx="14">
                  <c:v>5871.7928437792471</c:v>
                </c:pt>
                <c:pt idx="15">
                  <c:v>6052.9993889029383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E-4DA4-8035-3F8B2B376E5C}"/>
            </c:ext>
          </c:extLst>
        </c:ser>
        <c:ser>
          <c:idx val="5"/>
          <c:order val="5"/>
          <c:tx>
            <c:strRef>
              <c:f>'Base Output Fx'!$P$12</c:f>
              <c:strCache>
                <c:ptCount val="1"/>
                <c:pt idx="0">
                  <c:v>Number of ROs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Fx'!$Q$12:$AF$12</c:f>
              <c:numCache>
                <c:formatCode>_(* #,##0_);_(* \(#,##0\);_(* "-"??_);_(@_)</c:formatCode>
                <c:ptCount val="16"/>
                <c:pt idx="0">
                  <c:v>4424</c:v>
                </c:pt>
                <c:pt idx="1">
                  <c:v>4503</c:v>
                </c:pt>
                <c:pt idx="2">
                  <c:v>4608</c:v>
                </c:pt>
                <c:pt idx="3">
                  <c:v>4649</c:v>
                </c:pt>
                <c:pt idx="4">
                  <c:v>4691</c:v>
                </c:pt>
                <c:pt idx="5">
                  <c:v>4718</c:v>
                </c:pt>
                <c:pt idx="6">
                  <c:v>4755.5960281308016</c:v>
                </c:pt>
                <c:pt idx="7">
                  <c:v>4793.4916453525766</c:v>
                </c:pt>
                <c:pt idx="8">
                  <c:v>4831.6892389819623</c:v>
                </c:pt>
                <c:pt idx="9">
                  <c:v>4870.191215359253</c:v>
                </c:pt>
                <c:pt idx="10">
                  <c:v>4909</c:v>
                </c:pt>
                <c:pt idx="11">
                  <c:v>4938.2493632340793</c:v>
                </c:pt>
                <c:pt idx="12">
                  <c:v>4967.673003357464</c:v>
                </c:pt>
                <c:pt idx="13">
                  <c:v>4997.2719587665761</c:v>
                </c:pt>
                <c:pt idx="14">
                  <c:v>5027.0472740449304</c:v>
                </c:pt>
                <c:pt idx="15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DE-4DA4-8035-3F8B2B376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403696"/>
        <c:axId val="130240452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'Base Output Fx'!$P$8</c15:sqref>
                        </c15:formulaRef>
                      </c:ext>
                    </c:extLst>
                    <c:strCache>
                      <c:ptCount val="1"/>
                      <c:pt idx="0">
                        <c:v>Medicare FFS demand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'Base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'Base Output Fx'!$Q$8:$AF$8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1800.7966489999999</c:v>
                      </c:pt>
                      <c:pt idx="1">
                        <c:v>1839.6475190000001</c:v>
                      </c:pt>
                      <c:pt idx="2">
                        <c:v>1834.4624719999999</c:v>
                      </c:pt>
                      <c:pt idx="3">
                        <c:v>1847.4061730000001</c:v>
                      </c:pt>
                      <c:pt idx="4">
                        <c:v>1883.2942780000001</c:v>
                      </c:pt>
                      <c:pt idx="5">
                        <c:v>1898.2112899892643</c:v>
                      </c:pt>
                      <c:pt idx="6">
                        <c:v>1908.6483458556174</c:v>
                      </c:pt>
                      <c:pt idx="7">
                        <c:v>1919.3223492909967</c:v>
                      </c:pt>
                      <c:pt idx="8">
                        <c:v>1930.2469996037726</c:v>
                      </c:pt>
                      <c:pt idx="9">
                        <c:v>1941.4357643457815</c:v>
                      </c:pt>
                      <c:pt idx="10">
                        <c:v>1952.9017464138828</c:v>
                      </c:pt>
                      <c:pt idx="11">
                        <c:v>1967.8315709693502</c:v>
                      </c:pt>
                      <c:pt idx="12">
                        <c:v>1983.1162118669401</c:v>
                      </c:pt>
                      <c:pt idx="13">
                        <c:v>1998.7681957843886</c:v>
                      </c:pt>
                      <c:pt idx="14">
                        <c:v>2014.7991307008524</c:v>
                      </c:pt>
                      <c:pt idx="15">
                        <c:v>2031.2195766001705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4DE-4DA4-8035-3F8B2B376E5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Fx'!$P$9</c15:sqref>
                        </c15:formulaRef>
                      </c:ext>
                    </c:extLst>
                    <c:strCache>
                      <c:ptCount val="1"/>
                      <c:pt idx="0">
                        <c:v>Medicare Managed demand</c:v>
                      </c:pt>
                    </c:strCache>
                  </c:strRef>
                </c:tx>
                <c:spPr>
                  <a:ln w="28575" cap="rnd">
                    <a:solidFill>
                      <a:srgbClr val="7030A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Fx'!$Q$9:$AF$9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814.49919999999997</c:v>
                      </c:pt>
                      <c:pt idx="1">
                        <c:v>862.70349999999996</c:v>
                      </c:pt>
                      <c:pt idx="2">
                        <c:v>927.90340000000003</c:v>
                      </c:pt>
                      <c:pt idx="3">
                        <c:v>1008.8173</c:v>
                      </c:pt>
                      <c:pt idx="4">
                        <c:v>1110.3507999999999</c:v>
                      </c:pt>
                      <c:pt idx="5">
                        <c:v>1195.8193695096302</c:v>
                      </c:pt>
                      <c:pt idx="6">
                        <c:v>1284.7716964357874</c:v>
                      </c:pt>
                      <c:pt idx="7">
                        <c:v>1380.4699880252401</c:v>
                      </c:pt>
                      <c:pt idx="8">
                        <c:v>1483.4432734666857</c:v>
                      </c:pt>
                      <c:pt idx="9">
                        <c:v>1594.2634588917383</c:v>
                      </c:pt>
                      <c:pt idx="10">
                        <c:v>1713.5487666550282</c:v>
                      </c:pt>
                      <c:pt idx="11">
                        <c:v>1844.9432313013963</c:v>
                      </c:pt>
                      <c:pt idx="12">
                        <c:v>1986.6540966647481</c:v>
                      </c:pt>
                      <c:pt idx="13">
                        <c:v>2139.5159639437811</c:v>
                      </c:pt>
                      <c:pt idx="14">
                        <c:v>2304.4318253181304</c:v>
                      </c:pt>
                      <c:pt idx="15">
                        <c:v>2482.3784467368782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4DE-4DA4-8035-3F8B2B376E5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Fx'!$P$11</c15:sqref>
                        </c15:formulaRef>
                      </c:ext>
                    </c:extLst>
                    <c:strCache>
                      <c:ptCount val="1"/>
                      <c:pt idx="0">
                        <c:v>All other demand</c:v>
                      </c:pt>
                    </c:strCache>
                  </c:strRef>
                </c:tx>
                <c:spPr>
                  <a:ln w="28575" cap="rnd">
                    <a:solidFill>
                      <a:srgbClr val="00B0F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Fx'!$Q$11:$AF$11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1715.6224189183854</c:v>
                      </c:pt>
                      <c:pt idx="1">
                        <c:v>1711.0555446887893</c:v>
                      </c:pt>
                      <c:pt idx="2">
                        <c:v>1706.4886704591927</c:v>
                      </c:pt>
                      <c:pt idx="3">
                        <c:v>1701.9217962295961</c:v>
                      </c:pt>
                      <c:pt idx="4">
                        <c:v>1697.354922</c:v>
                      </c:pt>
                      <c:pt idx="5">
                        <c:v>1685.2885064101126</c:v>
                      </c:pt>
                      <c:pt idx="6">
                        <c:v>1669.286405989696</c:v>
                      </c:pt>
                      <c:pt idx="7">
                        <c:v>1653.5909487571366</c:v>
                      </c:pt>
                      <c:pt idx="8">
                        <c:v>1638.2051303610647</c:v>
                      </c:pt>
                      <c:pt idx="9">
                        <c:v>1623.1312938175702</c:v>
                      </c:pt>
                      <c:pt idx="10">
                        <c:v>1608.371054601691</c:v>
                      </c:pt>
                      <c:pt idx="11">
                        <c:v>1593.9386682837405</c:v>
                      </c:pt>
                      <c:pt idx="12">
                        <c:v>1579.827522001824</c:v>
                      </c:pt>
                      <c:pt idx="13">
                        <c:v>1566.036098334944</c:v>
                      </c:pt>
                      <c:pt idx="14">
                        <c:v>1552.5618877602651</c:v>
                      </c:pt>
                      <c:pt idx="15">
                        <c:v>1539.4013655658903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4DE-4DA4-8035-3F8B2B376E5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6"/>
          <c:order val="6"/>
          <c:tx>
            <c:strRef>
              <c:f>'Base Output Fx'!$P$13</c:f>
              <c:strCache>
                <c:ptCount val="1"/>
                <c:pt idx="0">
                  <c:v>RVUs per RO Secondary Axis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Fx'!$Q$13:$AF$13</c:f>
              <c:numCache>
                <c:formatCode>_(* #,##0_);_(* \(#,##0\);_(* "-"??_);_(@_)</c:formatCode>
                <c:ptCount val="16"/>
                <c:pt idx="0">
                  <c:v>9789.5982547883941</c:v>
                </c:pt>
                <c:pt idx="1">
                  <c:v>9801.0361174523405</c:v>
                </c:pt>
                <c:pt idx="2">
                  <c:v>9698.0350313784566</c:v>
                </c:pt>
                <c:pt idx="3">
                  <c:v>9804.5714545700066</c:v>
                </c:pt>
                <c:pt idx="4">
                  <c:v>10000</c:v>
                </c:pt>
                <c:pt idx="5">
                  <c:v>10143.014991994272</c:v>
                </c:pt>
                <c:pt idx="6">
                  <c:v>10288.075312782057</c:v>
                </c:pt>
                <c:pt idx="7">
                  <c:v>10435.210213631457</c:v>
                </c:pt>
                <c:pt idx="8">
                  <c:v>10584.449364147562</c:v>
                </c:pt>
                <c:pt idx="9">
                  <c:v>10735.822858255297</c:v>
                </c:pt>
                <c:pt idx="10">
                  <c:v>10889.361220267827</c:v>
                </c:pt>
                <c:pt idx="11">
                  <c:v>11045.095411041761</c:v>
                </c:pt>
                <c:pt idx="12">
                  <c:v>11203.056834220371</c:v>
                </c:pt>
                <c:pt idx="13">
                  <c:v>11363.277342566113</c:v>
                </c:pt>
                <c:pt idx="14">
                  <c:v>11525.789244383692</c:v>
                </c:pt>
                <c:pt idx="15">
                  <c:v>11690.625310035006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DE-4DA4-8035-3F8B2B376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51728"/>
        <c:axId val="812550064"/>
      </c:lineChart>
      <c:catAx>
        <c:axId val="13024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4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02404528"/>
        <c:scaling>
          <c:orientation val="minMax"/>
          <c:max val="75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3696"/>
        <c:crosses val="autoZero"/>
        <c:crossBetween val="between"/>
        <c:majorUnit val="1000"/>
      </c:valAx>
      <c:valAx>
        <c:axId val="812550064"/>
        <c:scaling>
          <c:orientation val="minMax"/>
          <c:max val="15000"/>
          <c:min val="5000"/>
        </c:scaling>
        <c:delete val="0"/>
        <c:axPos val="r"/>
        <c:majorGridlines>
          <c:spPr>
            <a:ln w="9525" cap="flat" cmpd="sng" algn="ctr">
              <a:solidFill>
                <a:srgbClr val="FFDDDD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bg1"/>
                    </a:solidFill>
                  </a:rPr>
                  <a:t>RVUs per RO</a:t>
                </a: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73A5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51728"/>
        <c:crosses val="max"/>
        <c:crossBetween val="between"/>
      </c:valAx>
      <c:catAx>
        <c:axId val="81255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255006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 Case Payer</a:t>
            </a:r>
            <a:r>
              <a:rPr lang="en-US" baseline="0"/>
              <a:t> Mix 2019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42-4532-A5F2-AC8B8E9F63C2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42-4532-A5F2-AC8B8E9F63C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42-4532-A5F2-AC8B8E9F63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Medicare FFS</c:v>
              </c:pt>
              <c:pt idx="1">
                <c:v>Managed Medicare</c:v>
              </c:pt>
              <c:pt idx="2">
                <c:v>All other</c:v>
              </c:pt>
            </c:strLit>
          </c:cat>
          <c:val>
            <c:numLit>
              <c:formatCode>General</c:formatCode>
              <c:ptCount val="3"/>
              <c:pt idx="0">
                <c:v>0.40146968194414839</c:v>
              </c:pt>
              <c:pt idx="1">
                <c:v>0.23669810274994671</c:v>
              </c:pt>
              <c:pt idx="2">
                <c:v>0.36183221530590493</c:v>
              </c:pt>
            </c:numLit>
          </c:val>
          <c:extLst>
            <c:ext xmlns:c16="http://schemas.microsoft.com/office/drawing/2014/chart" uri="{C3380CC4-5D6E-409C-BE32-E72D297353CC}">
              <c16:uniqueId val="{00000006-A342-4532-A5F2-AC8B8E9F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HRLS Case Payer</a:t>
            </a:r>
            <a:r>
              <a:rPr lang="en-US" baseline="0"/>
              <a:t> Mix 2019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C0-415B-A11F-E654BD4CE2F7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C0-415B-A11F-E654BD4CE2F7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C0-415B-A11F-E654BD4CE2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Medicare FFS</c:v>
              </c:pt>
              <c:pt idx="1">
                <c:v>Managed Medicare</c:v>
              </c:pt>
              <c:pt idx="2">
                <c:v>All other</c:v>
              </c:pt>
            </c:strLit>
          </c:cat>
          <c:val>
            <c:numLit>
              <c:formatCode>General</c:formatCode>
              <c:ptCount val="3"/>
              <c:pt idx="0">
                <c:v>0.40146968194414839</c:v>
              </c:pt>
              <c:pt idx="1">
                <c:v>0.23669810274994671</c:v>
              </c:pt>
              <c:pt idx="2">
                <c:v>0.36183221530590493</c:v>
              </c:pt>
            </c:numLit>
          </c:val>
          <c:extLst>
            <c:ext xmlns:c16="http://schemas.microsoft.com/office/drawing/2014/chart" uri="{C3380CC4-5D6E-409C-BE32-E72D297353CC}">
              <c16:uniqueId val="{00000006-76C0-415B-A11F-E654BD4C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 Case Payer</a:t>
            </a:r>
            <a:r>
              <a:rPr lang="en-US" baseline="0"/>
              <a:t> Mix 2019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F7-4A56-B567-A18A6195F71E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F7-4A56-B567-A18A6195F71E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F7-4A56-B567-A18A6195F7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Medicare FFS</c:v>
              </c:pt>
              <c:pt idx="1">
                <c:v>Managed Medicare</c:v>
              </c:pt>
              <c:pt idx="2">
                <c:v>All other</c:v>
              </c:pt>
            </c:strLit>
          </c:cat>
          <c:val>
            <c:numLit>
              <c:formatCode>General</c:formatCode>
              <c:ptCount val="3"/>
              <c:pt idx="0">
                <c:v>0.40146968194414839</c:v>
              </c:pt>
              <c:pt idx="1">
                <c:v>0.23669810274994671</c:v>
              </c:pt>
              <c:pt idx="2">
                <c:v>0.36183221530590493</c:v>
              </c:pt>
            </c:numLit>
          </c:val>
          <c:extLst>
            <c:ext xmlns:c16="http://schemas.microsoft.com/office/drawing/2014/chart" uri="{C3380CC4-5D6E-409C-BE32-E72D297353CC}">
              <c16:uniqueId val="{00000006-89F7-4A56-B567-A18A6195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 Supply/Demand in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 Output Fx'!$P$6</c:f>
              <c:strCache>
                <c:ptCount val="1"/>
                <c:pt idx="0">
                  <c:v>Supply in RO*RVU Ratio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Fx'!$Q$6:$AF$6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4743.1484700064048</c:v>
                </c:pt>
                <c:pt idx="6">
                  <c:v>4806.4288838799557</c:v>
                </c:pt>
                <c:pt idx="7">
                  <c:v>4870.5535493735706</c:v>
                </c:pt>
                <c:pt idx="8">
                  <c:v>4935.5337300165857</c:v>
                </c:pt>
                <c:pt idx="9">
                  <c:v>5001.3808396099939</c:v>
                </c:pt>
                <c:pt idx="10">
                  <c:v>5068.1064442313</c:v>
                </c:pt>
                <c:pt idx="11">
                  <c:v>5125.4794262754976</c:v>
                </c:pt>
                <c:pt idx="12">
                  <c:v>5183.5018933107613</c:v>
                </c:pt>
                <c:pt idx="13">
                  <c:v>5242.1811977656816</c:v>
                </c:pt>
                <c:pt idx="14">
                  <c:v>5301.5247753012682</c:v>
                </c:pt>
                <c:pt idx="15">
                  <c:v>5361.5401457531771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B-4772-9577-1D2E86AE3D0F}"/>
            </c:ext>
          </c:extLst>
        </c:ser>
        <c:ser>
          <c:idx val="1"/>
          <c:order val="1"/>
          <c:tx>
            <c:strRef>
              <c:f>'Live Output Fx'!$P$7</c:f>
              <c:strCache>
                <c:ptCount val="1"/>
                <c:pt idx="0">
                  <c:v>Sum of Demand</c:v>
                </c:pt>
              </c:strCache>
            </c:strRef>
          </c:tx>
          <c:spPr>
            <a:ln w="28575" cap="rnd">
              <a:solidFill>
                <a:srgbClr val="173A59"/>
              </a:solidFill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Fx'!$Q$7:$AF$7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4771.2189283917332</c:v>
                </c:pt>
                <c:pt idx="6">
                  <c:v>4810.4364287269018</c:v>
                </c:pt>
                <c:pt idx="7">
                  <c:v>4856.666273790468</c:v>
                </c:pt>
                <c:pt idx="8">
                  <c:v>4910.4196794854588</c:v>
                </c:pt>
                <c:pt idx="9">
                  <c:v>4972.246488531352</c:v>
                </c:pt>
                <c:pt idx="10">
                  <c:v>5042.7380819935242</c:v>
                </c:pt>
                <c:pt idx="11">
                  <c:v>5129.0475565302595</c:v>
                </c:pt>
                <c:pt idx="12">
                  <c:v>5225.9798659076814</c:v>
                </c:pt>
                <c:pt idx="13">
                  <c:v>5334.3353349273002</c:v>
                </c:pt>
                <c:pt idx="14">
                  <c:v>5454.9763988854793</c:v>
                </c:pt>
                <c:pt idx="15">
                  <c:v>5588.8324175487824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B-4772-9577-1D2E86AE3D0F}"/>
            </c:ext>
          </c:extLst>
        </c:ser>
        <c:ser>
          <c:idx val="5"/>
          <c:order val="5"/>
          <c:tx>
            <c:strRef>
              <c:f>'Live Output Fx'!$P$12</c:f>
              <c:strCache>
                <c:ptCount val="1"/>
                <c:pt idx="0">
                  <c:v>Number of ROs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Fx'!$Q$12:$AF$12</c:f>
              <c:numCache>
                <c:formatCode>_(* #,##0_);_(* \(#,##0\);_(* "-"??_);_(@_)</c:formatCode>
                <c:ptCount val="16"/>
                <c:pt idx="0">
                  <c:v>4424</c:v>
                </c:pt>
                <c:pt idx="1">
                  <c:v>4503</c:v>
                </c:pt>
                <c:pt idx="2">
                  <c:v>4608</c:v>
                </c:pt>
                <c:pt idx="3">
                  <c:v>4649</c:v>
                </c:pt>
                <c:pt idx="4">
                  <c:v>4691</c:v>
                </c:pt>
                <c:pt idx="5">
                  <c:v>4718</c:v>
                </c:pt>
                <c:pt idx="6">
                  <c:v>4755.5960281308016</c:v>
                </c:pt>
                <c:pt idx="7">
                  <c:v>4793.4916453525766</c:v>
                </c:pt>
                <c:pt idx="8">
                  <c:v>4831.6892389819623</c:v>
                </c:pt>
                <c:pt idx="9">
                  <c:v>4870.191215359253</c:v>
                </c:pt>
                <c:pt idx="10">
                  <c:v>4909</c:v>
                </c:pt>
                <c:pt idx="11">
                  <c:v>4938.2493632340793</c:v>
                </c:pt>
                <c:pt idx="12">
                  <c:v>4967.673003357464</c:v>
                </c:pt>
                <c:pt idx="13">
                  <c:v>4997.2719587665761</c:v>
                </c:pt>
                <c:pt idx="14">
                  <c:v>5027.0472740449304</c:v>
                </c:pt>
                <c:pt idx="15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2B-4772-9577-1D2E86AE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403696"/>
        <c:axId val="130240452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'Live Output Fx'!$P$8</c15:sqref>
                        </c15:formulaRef>
                      </c:ext>
                    </c:extLst>
                    <c:strCache>
                      <c:ptCount val="1"/>
                      <c:pt idx="0">
                        <c:v>Medicare FFS demand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'Live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'Live Output Fx'!$Q$8:$AF$8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1800.7966489999999</c:v>
                      </c:pt>
                      <c:pt idx="1">
                        <c:v>1839.6475190000001</c:v>
                      </c:pt>
                      <c:pt idx="2">
                        <c:v>1834.4624719999999</c:v>
                      </c:pt>
                      <c:pt idx="3">
                        <c:v>1847.4061730000001</c:v>
                      </c:pt>
                      <c:pt idx="4">
                        <c:v>1883.2942780000001</c:v>
                      </c:pt>
                      <c:pt idx="5">
                        <c:v>1895.4513330900293</c:v>
                      </c:pt>
                      <c:pt idx="6">
                        <c:v>1889.0188950938389</c:v>
                      </c:pt>
                      <c:pt idx="7">
                        <c:v>1883.136001913279</c:v>
                      </c:pt>
                      <c:pt idx="8">
                        <c:v>1877.8560068078648</c:v>
                      </c:pt>
                      <c:pt idx="9">
                        <c:v>1873.2313072894019</c:v>
                      </c:pt>
                      <c:pt idx="10">
                        <c:v>1869.3127923078275</c:v>
                      </c:pt>
                      <c:pt idx="11">
                        <c:v>1869.9721538732144</c:v>
                      </c:pt>
                      <c:pt idx="12">
                        <c:v>1871.47381030356</c:v>
                      </c:pt>
                      <c:pt idx="13">
                        <c:v>1873.8654468052346</c:v>
                      </c:pt>
                      <c:pt idx="14">
                        <c:v>1877.1908408264351</c:v>
                      </c:pt>
                      <c:pt idx="15">
                        <c:v>1881.4893037770814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12B-4772-9577-1D2E86AE3D0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Fx'!$P$9</c15:sqref>
                        </c15:formulaRef>
                      </c:ext>
                    </c:extLst>
                    <c:strCache>
                      <c:ptCount val="1"/>
                      <c:pt idx="0">
                        <c:v>Medicare Managed demand</c:v>
                      </c:pt>
                    </c:strCache>
                  </c:strRef>
                </c:tx>
                <c:spPr>
                  <a:ln w="28575" cap="rnd">
                    <a:solidFill>
                      <a:srgbClr val="7030A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Fx'!$Q$9:$AF$9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814.49919999999997</c:v>
                      </c:pt>
                      <c:pt idx="1">
                        <c:v>862.70349999999996</c:v>
                      </c:pt>
                      <c:pt idx="2">
                        <c:v>927.90340000000003</c:v>
                      </c:pt>
                      <c:pt idx="3">
                        <c:v>1008.8173</c:v>
                      </c:pt>
                      <c:pt idx="4">
                        <c:v>1110.3507999999999</c:v>
                      </c:pt>
                      <c:pt idx="5">
                        <c:v>1194.0806748045029</c:v>
                      </c:pt>
                      <c:pt idx="6">
                        <c:v>1271.5584909702156</c:v>
                      </c:pt>
                      <c:pt idx="7">
                        <c:v>1354.4430069140942</c:v>
                      </c:pt>
                      <c:pt idx="8">
                        <c:v>1443.1794803514595</c:v>
                      </c:pt>
                      <c:pt idx="9">
                        <c:v>1538.2554901422905</c:v>
                      </c:pt>
                      <c:pt idx="10">
                        <c:v>1640.2047034027753</c:v>
                      </c:pt>
                      <c:pt idx="11">
                        <c:v>1753.1949984474636</c:v>
                      </c:pt>
                      <c:pt idx="12">
                        <c:v>1874.8125247487083</c:v>
                      </c:pt>
                      <c:pt idx="13">
                        <c:v>2005.8179063376106</c:v>
                      </c:pt>
                      <c:pt idx="14">
                        <c:v>2147.0419804535936</c:v>
                      </c:pt>
                      <c:pt idx="15">
                        <c:v>2299.3912372978107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12B-4772-9577-1D2E86AE3D0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Fx'!$P$11</c15:sqref>
                        </c15:formulaRef>
                      </c:ext>
                    </c:extLst>
                    <c:strCache>
                      <c:ptCount val="1"/>
                      <c:pt idx="0">
                        <c:v>All other demand</c:v>
                      </c:pt>
                    </c:strCache>
                  </c:strRef>
                </c:tx>
                <c:spPr>
                  <a:ln w="28575" cap="rnd">
                    <a:solidFill>
                      <a:srgbClr val="00B0F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'Live Output Fx'!$Q$11:$AF$11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1715.6224189183854</c:v>
                      </c:pt>
                      <c:pt idx="1">
                        <c:v>1711.0555446887893</c:v>
                      </c:pt>
                      <c:pt idx="2">
                        <c:v>1706.4886704591927</c:v>
                      </c:pt>
                      <c:pt idx="3">
                        <c:v>1701.9217962295961</c:v>
                      </c:pt>
                      <c:pt idx="4">
                        <c:v>1697.354922</c:v>
                      </c:pt>
                      <c:pt idx="5">
                        <c:v>1681.6869204972011</c:v>
                      </c:pt>
                      <c:pt idx="6">
                        <c:v>1649.8590426628466</c:v>
                      </c:pt>
                      <c:pt idx="7">
                        <c:v>1619.0872649630944</c:v>
                      </c:pt>
                      <c:pt idx="8">
                        <c:v>1589.3841923261346</c:v>
                      </c:pt>
                      <c:pt idx="9">
                        <c:v>1560.7596910996599</c:v>
                      </c:pt>
                      <c:pt idx="10">
                        <c:v>1533.2205862829214</c:v>
                      </c:pt>
                      <c:pt idx="11">
                        <c:v>1505.8804042095815</c:v>
                      </c:pt>
                      <c:pt idx="12">
                        <c:v>1479.693530855413</c:v>
                      </c:pt>
                      <c:pt idx="13">
                        <c:v>1454.6519817844555</c:v>
                      </c:pt>
                      <c:pt idx="14">
                        <c:v>1430.7435776054504</c:v>
                      </c:pt>
                      <c:pt idx="15">
                        <c:v>1407.9518764738903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2B-4772-9577-1D2E86AE3D0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6"/>
          <c:order val="6"/>
          <c:tx>
            <c:strRef>
              <c:f>'Live Output Fx'!$P$13</c:f>
              <c:strCache>
                <c:ptCount val="1"/>
                <c:pt idx="0">
                  <c:v>RVUs per RO Secondary Axis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'Live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'Live Output Fx'!$Q$13:$AF$13</c:f>
              <c:numCache>
                <c:formatCode>_(* #,##0_);_(* \(#,##0\);_(* "-"??_);_(@_)</c:formatCode>
                <c:ptCount val="16"/>
                <c:pt idx="0">
                  <c:v>9789.5982547883941</c:v>
                </c:pt>
                <c:pt idx="1">
                  <c:v>9801.0361174523405</c:v>
                </c:pt>
                <c:pt idx="2">
                  <c:v>9698.0350313784566</c:v>
                </c:pt>
                <c:pt idx="3">
                  <c:v>9804.5714545700066</c:v>
                </c:pt>
                <c:pt idx="4">
                  <c:v>10000</c:v>
                </c:pt>
                <c:pt idx="5">
                  <c:v>10053.303242913109</c:v>
                </c:pt>
                <c:pt idx="6">
                  <c:v>10106.890609396723</c:v>
                </c:pt>
                <c:pt idx="7">
                  <c:v>10160.763613921614</c:v>
                </c:pt>
                <c:pt idx="8">
                  <c:v>10214.923779031169</c:v>
                </c:pt>
                <c:pt idx="9">
                  <c:v>10269.372635384429</c:v>
                </c:pt>
                <c:pt idx="10">
                  <c:v>10324.111721799347</c:v>
                </c:pt>
                <c:pt idx="11">
                  <c:v>10379.142585296262</c:v>
                </c:pt>
                <c:pt idx="12">
                  <c:v>10434.466781141648</c:v>
                </c:pt>
                <c:pt idx="13">
                  <c:v>10490.085872892045</c:v>
                </c:pt>
                <c:pt idx="14">
                  <c:v>10546.001432438259</c:v>
                </c:pt>
                <c:pt idx="15">
                  <c:v>10602.215040049787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2B-4772-9577-1D2E86AE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51728"/>
        <c:axId val="812550064"/>
      </c:lineChart>
      <c:catAx>
        <c:axId val="13024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4528"/>
        <c:crosses val="autoZero"/>
        <c:auto val="1"/>
        <c:lblAlgn val="ctr"/>
        <c:lblOffset val="100"/>
        <c:noMultiLvlLbl val="0"/>
      </c:catAx>
      <c:valAx>
        <c:axId val="1302404528"/>
        <c:scaling>
          <c:orientation val="minMax"/>
          <c:max val="75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ROs</a:t>
                </a:r>
                <a:r>
                  <a:rPr lang="en-US" sz="2000" baseline="0"/>
                  <a:t> (or ROs*RVU Ratio)</a:t>
                </a:r>
                <a:r>
                  <a:rPr lang="en-US" sz="2000"/>
                  <a:t> </a:t>
                </a:r>
                <a:r>
                  <a:rPr lang="en-US" sz="2000" baseline="0"/>
                  <a:t> 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4.488860733036849E-3"/>
              <c:y val="0.20225373299697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173A5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3696"/>
        <c:crosses val="autoZero"/>
        <c:crossBetween val="between"/>
        <c:majorUnit val="1000"/>
      </c:valAx>
      <c:valAx>
        <c:axId val="812550064"/>
        <c:scaling>
          <c:orientation val="minMax"/>
          <c:max val="15000"/>
          <c:min val="5000"/>
        </c:scaling>
        <c:delete val="0"/>
        <c:axPos val="r"/>
        <c:majorGridlines>
          <c:spPr>
            <a:ln w="9525" cap="flat" cmpd="sng" algn="ctr">
              <a:solidFill>
                <a:srgbClr val="FFDDDD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rgbClr val="FFDDDD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rgbClr val="FF8F8F"/>
                    </a:solidFill>
                  </a:rPr>
                  <a:t>RVUs per 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rgbClr val="FFDDDD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8F8F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51728"/>
        <c:crosses val="max"/>
        <c:crossBetween val="between"/>
      </c:valAx>
      <c:catAx>
        <c:axId val="81255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255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 Case Payer</a:t>
            </a:r>
            <a:r>
              <a:rPr lang="en-US" baseline="0"/>
              <a:t> Mix 2019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50-41BE-B3F5-B97BEE688149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50-41BE-B3F5-B97BEE688149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50-41BE-B3F5-B97BEE6881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Medicare FFS</c:v>
              </c:pt>
              <c:pt idx="1">
                <c:v>Managed Medicare</c:v>
              </c:pt>
              <c:pt idx="2">
                <c:v>All other</c:v>
              </c:pt>
            </c:strLit>
          </c:cat>
          <c:val>
            <c:numLit>
              <c:formatCode>General</c:formatCode>
              <c:ptCount val="3"/>
              <c:pt idx="0">
                <c:v>0.40146968194414839</c:v>
              </c:pt>
              <c:pt idx="1">
                <c:v>0.23669810274994671</c:v>
              </c:pt>
              <c:pt idx="2">
                <c:v>0.36183221530590493</c:v>
              </c:pt>
            </c:numLit>
          </c:val>
          <c:extLst>
            <c:ext xmlns:c16="http://schemas.microsoft.com/office/drawing/2014/chart" uri="{C3380CC4-5D6E-409C-BE32-E72D297353CC}">
              <c16:uniqueId val="{00000006-5B50-41BE-B3F5-B97BEE688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 Supply/Demand in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'Base Output Fx'!$P$6</c:f>
              <c:strCache>
                <c:ptCount val="1"/>
                <c:pt idx="0">
                  <c:v>Supply in RO*RVU Ratio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Fx'!$Q$6:$AF$6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4785.4744732228974</c:v>
                </c:pt>
                <c:pt idx="6">
                  <c:v>4892.5930094576906</c:v>
                </c:pt>
                <c:pt idx="7">
                  <c:v>5002.1092976540258</c:v>
                </c:pt>
                <c:pt idx="8">
                  <c:v>5114.0770093301244</c:v>
                </c:pt>
                <c:pt idx="9">
                  <c:v>5228.5510173928014</c:v>
                </c:pt>
                <c:pt idx="10">
                  <c:v>5345.5874230294758</c:v>
                </c:pt>
                <c:pt idx="11">
                  <c:v>5454.3435380436631</c:v>
                </c:pt>
                <c:pt idx="12">
                  <c:v>5565.3122990435868</c:v>
                </c:pt>
                <c:pt idx="13">
                  <c:v>5678.5387223693206</c:v>
                </c:pt>
                <c:pt idx="14">
                  <c:v>5794.0687402195408</c:v>
                </c:pt>
                <c:pt idx="15">
                  <c:v>5911.9492192847019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DE4-BFD9-CEBAB36AA234}"/>
            </c:ext>
          </c:extLst>
        </c:ser>
        <c:ser>
          <c:idx val="1"/>
          <c:order val="1"/>
          <c:tx>
            <c:strRef>
              <c:f>'Base Output Fx'!$P$7</c:f>
              <c:strCache>
                <c:ptCount val="1"/>
                <c:pt idx="0">
                  <c:v>Sum of Demand</c:v>
                </c:pt>
              </c:strCache>
            </c:strRef>
          </c:tx>
          <c:spPr>
            <a:ln w="28575" cap="rnd">
              <a:solidFill>
                <a:srgbClr val="173A59"/>
              </a:solidFill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Fx'!$Q$7:$AF$7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4779.3191659090071</c:v>
                </c:pt>
                <c:pt idx="6">
                  <c:v>4862.7064482811002</c:v>
                </c:pt>
                <c:pt idx="7">
                  <c:v>4953.3832860733728</c:v>
                </c:pt>
                <c:pt idx="8">
                  <c:v>5051.8954034315229</c:v>
                </c:pt>
                <c:pt idx="9">
                  <c:v>5158.8305170550902</c:v>
                </c:pt>
                <c:pt idx="10">
                  <c:v>5274.8215676706022</c:v>
                </c:pt>
                <c:pt idx="11">
                  <c:v>5406.7134705544868</c:v>
                </c:pt>
                <c:pt idx="12">
                  <c:v>5549.597830533512</c:v>
                </c:pt>
                <c:pt idx="13">
                  <c:v>5704.3202580631132</c:v>
                </c:pt>
                <c:pt idx="14">
                  <c:v>5871.7928437792471</c:v>
                </c:pt>
                <c:pt idx="15">
                  <c:v>6052.9993889029383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DE4-BFD9-CEBAB36AA234}"/>
            </c:ext>
          </c:extLst>
        </c:ser>
        <c:ser>
          <c:idx val="5"/>
          <c:order val="5"/>
          <c:tx>
            <c:strRef>
              <c:f>'Base Output Fx'!$P$12</c:f>
              <c:strCache>
                <c:ptCount val="1"/>
                <c:pt idx="0">
                  <c:v>Number of ROs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Fx'!$Q$12:$AF$12</c:f>
              <c:numCache>
                <c:formatCode>_(* #,##0_);_(* \(#,##0\);_(* "-"??_);_(@_)</c:formatCode>
                <c:ptCount val="16"/>
                <c:pt idx="0">
                  <c:v>4424</c:v>
                </c:pt>
                <c:pt idx="1">
                  <c:v>4503</c:v>
                </c:pt>
                <c:pt idx="2">
                  <c:v>4608</c:v>
                </c:pt>
                <c:pt idx="3">
                  <c:v>4649</c:v>
                </c:pt>
                <c:pt idx="4">
                  <c:v>4691</c:v>
                </c:pt>
                <c:pt idx="5">
                  <c:v>4718</c:v>
                </c:pt>
                <c:pt idx="6">
                  <c:v>4755.5960281308016</c:v>
                </c:pt>
                <c:pt idx="7">
                  <c:v>4793.4916453525766</c:v>
                </c:pt>
                <c:pt idx="8">
                  <c:v>4831.6892389819623</c:v>
                </c:pt>
                <c:pt idx="9">
                  <c:v>4870.191215359253</c:v>
                </c:pt>
                <c:pt idx="10">
                  <c:v>4909</c:v>
                </c:pt>
                <c:pt idx="11">
                  <c:v>4938.2493632340793</c:v>
                </c:pt>
                <c:pt idx="12">
                  <c:v>4967.673003357464</c:v>
                </c:pt>
                <c:pt idx="13">
                  <c:v>4997.2719587665761</c:v>
                </c:pt>
                <c:pt idx="14">
                  <c:v>5027.0472740449304</c:v>
                </c:pt>
                <c:pt idx="15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37-4DE4-BFD9-CEBAB36A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403696"/>
        <c:axId val="130240452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'Base Output Fx'!$P$8</c15:sqref>
                        </c15:formulaRef>
                      </c:ext>
                    </c:extLst>
                    <c:strCache>
                      <c:ptCount val="1"/>
                      <c:pt idx="0">
                        <c:v>Medicare FFS demand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'Base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'Base Output Fx'!$Q$8:$AF$8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1800.7966489999999</c:v>
                      </c:pt>
                      <c:pt idx="1">
                        <c:v>1839.6475190000001</c:v>
                      </c:pt>
                      <c:pt idx="2">
                        <c:v>1834.4624719999999</c:v>
                      </c:pt>
                      <c:pt idx="3">
                        <c:v>1847.4061730000001</c:v>
                      </c:pt>
                      <c:pt idx="4">
                        <c:v>1883.2942780000001</c:v>
                      </c:pt>
                      <c:pt idx="5">
                        <c:v>1898.2112899892643</c:v>
                      </c:pt>
                      <c:pt idx="6">
                        <c:v>1908.6483458556174</c:v>
                      </c:pt>
                      <c:pt idx="7">
                        <c:v>1919.3223492909967</c:v>
                      </c:pt>
                      <c:pt idx="8">
                        <c:v>1930.2469996037726</c:v>
                      </c:pt>
                      <c:pt idx="9">
                        <c:v>1941.4357643457815</c:v>
                      </c:pt>
                      <c:pt idx="10">
                        <c:v>1952.9017464138828</c:v>
                      </c:pt>
                      <c:pt idx="11">
                        <c:v>1967.8315709693502</c:v>
                      </c:pt>
                      <c:pt idx="12">
                        <c:v>1983.1162118669401</c:v>
                      </c:pt>
                      <c:pt idx="13">
                        <c:v>1998.7681957843886</c:v>
                      </c:pt>
                      <c:pt idx="14">
                        <c:v>2014.7991307008524</c:v>
                      </c:pt>
                      <c:pt idx="15">
                        <c:v>2031.2195766001705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137-4DE4-BFD9-CEBAB36AA23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Fx'!$P$9</c15:sqref>
                        </c15:formulaRef>
                      </c:ext>
                    </c:extLst>
                    <c:strCache>
                      <c:ptCount val="1"/>
                      <c:pt idx="0">
                        <c:v>Medicare Managed demand</c:v>
                      </c:pt>
                    </c:strCache>
                  </c:strRef>
                </c:tx>
                <c:spPr>
                  <a:ln w="28575" cap="rnd">
                    <a:solidFill>
                      <a:srgbClr val="7030A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Fx'!$Q$9:$AF$9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814.49919999999997</c:v>
                      </c:pt>
                      <c:pt idx="1">
                        <c:v>862.70349999999996</c:v>
                      </c:pt>
                      <c:pt idx="2">
                        <c:v>927.90340000000003</c:v>
                      </c:pt>
                      <c:pt idx="3">
                        <c:v>1008.8173</c:v>
                      </c:pt>
                      <c:pt idx="4">
                        <c:v>1110.3507999999999</c:v>
                      </c:pt>
                      <c:pt idx="5">
                        <c:v>1195.8193695096302</c:v>
                      </c:pt>
                      <c:pt idx="6">
                        <c:v>1284.7716964357874</c:v>
                      </c:pt>
                      <c:pt idx="7">
                        <c:v>1380.4699880252401</c:v>
                      </c:pt>
                      <c:pt idx="8">
                        <c:v>1483.4432734666857</c:v>
                      </c:pt>
                      <c:pt idx="9">
                        <c:v>1594.2634588917383</c:v>
                      </c:pt>
                      <c:pt idx="10">
                        <c:v>1713.5487666550282</c:v>
                      </c:pt>
                      <c:pt idx="11">
                        <c:v>1844.9432313013963</c:v>
                      </c:pt>
                      <c:pt idx="12">
                        <c:v>1986.6540966647481</c:v>
                      </c:pt>
                      <c:pt idx="13">
                        <c:v>2139.5159639437811</c:v>
                      </c:pt>
                      <c:pt idx="14">
                        <c:v>2304.4318253181304</c:v>
                      </c:pt>
                      <c:pt idx="15">
                        <c:v>2482.3784467368782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37-4DE4-BFD9-CEBAB36AA23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Fx'!$P$11</c15:sqref>
                        </c15:formulaRef>
                      </c:ext>
                    </c:extLst>
                    <c:strCache>
                      <c:ptCount val="1"/>
                      <c:pt idx="0">
                        <c:v>All other demand</c:v>
                      </c:pt>
                    </c:strCache>
                  </c:strRef>
                </c:tx>
                <c:spPr>
                  <a:ln w="28575" cap="rnd">
                    <a:solidFill>
                      <a:srgbClr val="00B0F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Fx'!$Q$5:$AF$5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'Base Output Fx'!$Q$11:$AF$11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6"/>
                      <c:pt idx="0">
                        <c:v>1715.6224189183854</c:v>
                      </c:pt>
                      <c:pt idx="1">
                        <c:v>1711.0555446887893</c:v>
                      </c:pt>
                      <c:pt idx="2">
                        <c:v>1706.4886704591927</c:v>
                      </c:pt>
                      <c:pt idx="3">
                        <c:v>1701.9217962295961</c:v>
                      </c:pt>
                      <c:pt idx="4">
                        <c:v>1697.354922</c:v>
                      </c:pt>
                      <c:pt idx="5">
                        <c:v>1685.2885064101126</c:v>
                      </c:pt>
                      <c:pt idx="6">
                        <c:v>1669.286405989696</c:v>
                      </c:pt>
                      <c:pt idx="7">
                        <c:v>1653.5909487571366</c:v>
                      </c:pt>
                      <c:pt idx="8">
                        <c:v>1638.2051303610647</c:v>
                      </c:pt>
                      <c:pt idx="9">
                        <c:v>1623.1312938175702</c:v>
                      </c:pt>
                      <c:pt idx="10">
                        <c:v>1608.371054601691</c:v>
                      </c:pt>
                      <c:pt idx="11">
                        <c:v>1593.9386682837405</c:v>
                      </c:pt>
                      <c:pt idx="12">
                        <c:v>1579.827522001824</c:v>
                      </c:pt>
                      <c:pt idx="13">
                        <c:v>1566.036098334944</c:v>
                      </c:pt>
                      <c:pt idx="14">
                        <c:v>1552.5618877602651</c:v>
                      </c:pt>
                      <c:pt idx="15">
                        <c:v>1539.4013655658903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37-4DE4-BFD9-CEBAB36AA23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6"/>
          <c:order val="6"/>
          <c:tx>
            <c:strRef>
              <c:f>'Base Output Fx'!$P$13</c:f>
              <c:strCache>
                <c:ptCount val="1"/>
                <c:pt idx="0">
                  <c:v>RVUs per RO Secondary Axis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Fx'!$Q$13:$AF$13</c:f>
              <c:numCache>
                <c:formatCode>_(* #,##0_);_(* \(#,##0\);_(* "-"??_);_(@_)</c:formatCode>
                <c:ptCount val="16"/>
                <c:pt idx="0">
                  <c:v>9789.5982547883941</c:v>
                </c:pt>
                <c:pt idx="1">
                  <c:v>9801.0361174523405</c:v>
                </c:pt>
                <c:pt idx="2">
                  <c:v>9698.0350313784566</c:v>
                </c:pt>
                <c:pt idx="3">
                  <c:v>9804.5714545700066</c:v>
                </c:pt>
                <c:pt idx="4">
                  <c:v>10000</c:v>
                </c:pt>
                <c:pt idx="5">
                  <c:v>10143.014991994272</c:v>
                </c:pt>
                <c:pt idx="6">
                  <c:v>10288.075312782057</c:v>
                </c:pt>
                <c:pt idx="7">
                  <c:v>10435.210213631457</c:v>
                </c:pt>
                <c:pt idx="8">
                  <c:v>10584.449364147562</c:v>
                </c:pt>
                <c:pt idx="9">
                  <c:v>10735.822858255297</c:v>
                </c:pt>
                <c:pt idx="10">
                  <c:v>10889.361220267827</c:v>
                </c:pt>
                <c:pt idx="11">
                  <c:v>11045.095411041761</c:v>
                </c:pt>
                <c:pt idx="12">
                  <c:v>11203.056834220371</c:v>
                </c:pt>
                <c:pt idx="13">
                  <c:v>11363.277342566113</c:v>
                </c:pt>
                <c:pt idx="14">
                  <c:v>11525.789244383692</c:v>
                </c:pt>
                <c:pt idx="15">
                  <c:v>11690.625310035006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37-4DE4-BFD9-CEBAB36A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51728"/>
        <c:axId val="812550064"/>
      </c:lineChart>
      <c:catAx>
        <c:axId val="13024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4528"/>
        <c:crosses val="autoZero"/>
        <c:auto val="1"/>
        <c:lblAlgn val="ctr"/>
        <c:lblOffset val="100"/>
        <c:noMultiLvlLbl val="0"/>
      </c:catAx>
      <c:valAx>
        <c:axId val="1302404528"/>
        <c:scaling>
          <c:orientation val="minMax"/>
          <c:max val="75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ROs</a:t>
                </a:r>
                <a:r>
                  <a:rPr lang="en-US" sz="2000" baseline="0"/>
                  <a:t> (or ROs*RVU Ratio)</a:t>
                </a:r>
                <a:r>
                  <a:rPr lang="en-US" sz="2000"/>
                  <a:t> </a:t>
                </a:r>
                <a:r>
                  <a:rPr lang="en-US" sz="2000" baseline="0"/>
                  <a:t> 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4.488860733036849E-3"/>
              <c:y val="0.20225373299697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173A5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3696"/>
        <c:crosses val="autoZero"/>
        <c:crossBetween val="between"/>
        <c:majorUnit val="1000"/>
      </c:valAx>
      <c:valAx>
        <c:axId val="812550064"/>
        <c:scaling>
          <c:orientation val="minMax"/>
          <c:max val="15000"/>
          <c:min val="5000"/>
        </c:scaling>
        <c:delete val="0"/>
        <c:axPos val="r"/>
        <c:majorGridlines>
          <c:spPr>
            <a:ln w="9525" cap="flat" cmpd="sng" algn="ctr">
              <a:solidFill>
                <a:srgbClr val="FFDDDD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rgbClr val="FFDDDD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rgbClr val="FF8F8F"/>
                    </a:solidFill>
                  </a:rPr>
                  <a:t>RVUs per 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rgbClr val="FFDDDD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8F8F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51728"/>
        <c:crosses val="max"/>
        <c:crossBetween val="between"/>
      </c:valAx>
      <c:catAx>
        <c:axId val="81255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255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 Supply/Demand in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'Base Output Fx'!$P$6</c:f>
              <c:strCache>
                <c:ptCount val="1"/>
                <c:pt idx="0">
                  <c:v>Supply in RO*RVU Ratio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Fx'!$Q$6:$AF$6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4785.4744732228974</c:v>
                </c:pt>
                <c:pt idx="6">
                  <c:v>4892.5930094576906</c:v>
                </c:pt>
                <c:pt idx="7">
                  <c:v>5002.1092976540258</c:v>
                </c:pt>
                <c:pt idx="8">
                  <c:v>5114.0770093301244</c:v>
                </c:pt>
                <c:pt idx="9">
                  <c:v>5228.5510173928014</c:v>
                </c:pt>
                <c:pt idx="10">
                  <c:v>5345.5874230294758</c:v>
                </c:pt>
                <c:pt idx="11">
                  <c:v>5454.3435380436631</c:v>
                </c:pt>
                <c:pt idx="12">
                  <c:v>5565.3122990435868</c:v>
                </c:pt>
                <c:pt idx="13">
                  <c:v>5678.5387223693206</c:v>
                </c:pt>
                <c:pt idx="14">
                  <c:v>5794.0687402195408</c:v>
                </c:pt>
                <c:pt idx="15">
                  <c:v>5911.9492192847019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7-4B23-B004-C74351070EF9}"/>
            </c:ext>
          </c:extLst>
        </c:ser>
        <c:ser>
          <c:idx val="1"/>
          <c:order val="1"/>
          <c:tx>
            <c:strRef>
              <c:f>'Base Output Fx'!$P$7</c:f>
              <c:strCache>
                <c:ptCount val="1"/>
                <c:pt idx="0">
                  <c:v>Sum of Demand</c:v>
                </c:pt>
              </c:strCache>
            </c:strRef>
          </c:tx>
          <c:spPr>
            <a:ln w="28575" cap="rnd">
              <a:solidFill>
                <a:srgbClr val="173A59"/>
              </a:solidFill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Fx'!$Q$7:$AF$7</c:f>
              <c:numCache>
                <c:formatCode>_(* #,##0_);_(* \(#,##0\);_(* "-"??_);_(@_)</c:formatCode>
                <c:ptCount val="16"/>
                <c:pt idx="0">
                  <c:v>4330.9182679183859</c:v>
                </c:pt>
                <c:pt idx="1">
                  <c:v>4413.406563688789</c:v>
                </c:pt>
                <c:pt idx="2">
                  <c:v>4468.854542459193</c:v>
                </c:pt>
                <c:pt idx="3">
                  <c:v>4558.1452692295961</c:v>
                </c:pt>
                <c:pt idx="4">
                  <c:v>4691</c:v>
                </c:pt>
                <c:pt idx="5">
                  <c:v>4779.3191659090071</c:v>
                </c:pt>
                <c:pt idx="6">
                  <c:v>4862.7064482811002</c:v>
                </c:pt>
                <c:pt idx="7">
                  <c:v>4953.3832860733728</c:v>
                </c:pt>
                <c:pt idx="8">
                  <c:v>5051.8954034315229</c:v>
                </c:pt>
                <c:pt idx="9">
                  <c:v>5158.8305170550902</c:v>
                </c:pt>
                <c:pt idx="10">
                  <c:v>5274.8215676706022</c:v>
                </c:pt>
                <c:pt idx="11">
                  <c:v>5406.7134705544868</c:v>
                </c:pt>
                <c:pt idx="12">
                  <c:v>5549.597830533512</c:v>
                </c:pt>
                <c:pt idx="13">
                  <c:v>5704.3202580631132</c:v>
                </c:pt>
                <c:pt idx="14">
                  <c:v>5871.7928437792471</c:v>
                </c:pt>
                <c:pt idx="15">
                  <c:v>6052.9993889029383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7-4B23-B004-C74351070EF9}"/>
            </c:ext>
          </c:extLst>
        </c:ser>
        <c:ser>
          <c:idx val="2"/>
          <c:order val="2"/>
          <c:tx>
            <c:strRef>
              <c:f>'Base Output Fx'!$P$8</c:f>
              <c:strCache>
                <c:ptCount val="1"/>
                <c:pt idx="0">
                  <c:v>Medicare FFS demand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Fx'!$Q$8:$AF$8</c:f>
              <c:numCache>
                <c:formatCode>_(* #,##0_);_(* \(#,##0\);_(* "-"??_);_(@_)</c:formatCode>
                <c:ptCount val="16"/>
                <c:pt idx="0">
                  <c:v>1800.7966489999999</c:v>
                </c:pt>
                <c:pt idx="1">
                  <c:v>1839.6475190000001</c:v>
                </c:pt>
                <c:pt idx="2">
                  <c:v>1834.4624719999999</c:v>
                </c:pt>
                <c:pt idx="3">
                  <c:v>1847.4061730000001</c:v>
                </c:pt>
                <c:pt idx="4">
                  <c:v>1883.2942780000001</c:v>
                </c:pt>
                <c:pt idx="5">
                  <c:v>1898.2112899892643</c:v>
                </c:pt>
                <c:pt idx="6">
                  <c:v>1908.6483458556174</c:v>
                </c:pt>
                <c:pt idx="7">
                  <c:v>1919.3223492909967</c:v>
                </c:pt>
                <c:pt idx="8">
                  <c:v>1930.2469996037726</c:v>
                </c:pt>
                <c:pt idx="9">
                  <c:v>1941.4357643457815</c:v>
                </c:pt>
                <c:pt idx="10">
                  <c:v>1952.9017464138828</c:v>
                </c:pt>
                <c:pt idx="11">
                  <c:v>1967.8315709693502</c:v>
                </c:pt>
                <c:pt idx="12">
                  <c:v>1983.1162118669401</c:v>
                </c:pt>
                <c:pt idx="13">
                  <c:v>1998.7681957843886</c:v>
                </c:pt>
                <c:pt idx="14">
                  <c:v>2014.7991307008524</c:v>
                </c:pt>
                <c:pt idx="15">
                  <c:v>2031.2195766001705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7-4B23-B004-C74351070EF9}"/>
            </c:ext>
          </c:extLst>
        </c:ser>
        <c:ser>
          <c:idx val="3"/>
          <c:order val="3"/>
          <c:tx>
            <c:strRef>
              <c:f>'Base Output Fx'!$P$9</c:f>
              <c:strCache>
                <c:ptCount val="1"/>
                <c:pt idx="0">
                  <c:v>Medicare Managed demand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Fx'!$Q$9:$AF$9</c:f>
              <c:numCache>
                <c:formatCode>_(* #,##0_);_(* \(#,##0\);_(* "-"??_);_(@_)</c:formatCode>
                <c:ptCount val="16"/>
                <c:pt idx="0">
                  <c:v>814.49919999999997</c:v>
                </c:pt>
                <c:pt idx="1">
                  <c:v>862.70349999999996</c:v>
                </c:pt>
                <c:pt idx="2">
                  <c:v>927.90340000000003</c:v>
                </c:pt>
                <c:pt idx="3">
                  <c:v>1008.8173</c:v>
                </c:pt>
                <c:pt idx="4">
                  <c:v>1110.3507999999999</c:v>
                </c:pt>
                <c:pt idx="5">
                  <c:v>1195.8193695096302</c:v>
                </c:pt>
                <c:pt idx="6">
                  <c:v>1284.7716964357874</c:v>
                </c:pt>
                <c:pt idx="7">
                  <c:v>1380.4699880252401</c:v>
                </c:pt>
                <c:pt idx="8">
                  <c:v>1483.4432734666857</c:v>
                </c:pt>
                <c:pt idx="9">
                  <c:v>1594.2634588917383</c:v>
                </c:pt>
                <c:pt idx="10">
                  <c:v>1713.5487666550282</c:v>
                </c:pt>
                <c:pt idx="11">
                  <c:v>1844.9432313013963</c:v>
                </c:pt>
                <c:pt idx="12">
                  <c:v>1986.6540966647481</c:v>
                </c:pt>
                <c:pt idx="13">
                  <c:v>2139.5159639437811</c:v>
                </c:pt>
                <c:pt idx="14">
                  <c:v>2304.4318253181304</c:v>
                </c:pt>
                <c:pt idx="15">
                  <c:v>2482.3784467368782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87-4B23-B004-C74351070EF9}"/>
            </c:ext>
          </c:extLst>
        </c:ser>
        <c:ser>
          <c:idx val="4"/>
          <c:order val="4"/>
          <c:tx>
            <c:strRef>
              <c:f>'Base Output Fx'!$P$11</c:f>
              <c:strCache>
                <c:ptCount val="1"/>
                <c:pt idx="0">
                  <c:v>All other demand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Fx'!$Q$11:$AF$11</c:f>
              <c:numCache>
                <c:formatCode>_(* #,##0_);_(* \(#,##0\);_(* "-"??_);_(@_)</c:formatCode>
                <c:ptCount val="16"/>
                <c:pt idx="0">
                  <c:v>1715.6224189183854</c:v>
                </c:pt>
                <c:pt idx="1">
                  <c:v>1711.0555446887893</c:v>
                </c:pt>
                <c:pt idx="2">
                  <c:v>1706.4886704591927</c:v>
                </c:pt>
                <c:pt idx="3">
                  <c:v>1701.9217962295961</c:v>
                </c:pt>
                <c:pt idx="4">
                  <c:v>1697.354922</c:v>
                </c:pt>
                <c:pt idx="5">
                  <c:v>1685.2885064101126</c:v>
                </c:pt>
                <c:pt idx="6">
                  <c:v>1669.286405989696</c:v>
                </c:pt>
                <c:pt idx="7">
                  <c:v>1653.5909487571366</c:v>
                </c:pt>
                <c:pt idx="8">
                  <c:v>1638.2051303610647</c:v>
                </c:pt>
                <c:pt idx="9">
                  <c:v>1623.1312938175702</c:v>
                </c:pt>
                <c:pt idx="10">
                  <c:v>1608.371054601691</c:v>
                </c:pt>
                <c:pt idx="11">
                  <c:v>1593.9386682837405</c:v>
                </c:pt>
                <c:pt idx="12">
                  <c:v>1579.827522001824</c:v>
                </c:pt>
                <c:pt idx="13">
                  <c:v>1566.036098334944</c:v>
                </c:pt>
                <c:pt idx="14">
                  <c:v>1552.5618877602651</c:v>
                </c:pt>
                <c:pt idx="15">
                  <c:v>1539.4013655658903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87-4B23-B004-C74351070EF9}"/>
            </c:ext>
          </c:extLst>
        </c:ser>
        <c:ser>
          <c:idx val="5"/>
          <c:order val="5"/>
          <c:tx>
            <c:strRef>
              <c:f>'Base Output Fx'!$P$12</c:f>
              <c:strCache>
                <c:ptCount val="1"/>
                <c:pt idx="0">
                  <c:v>Number of ROs</c:v>
                </c:pt>
              </c:strCache>
            </c:strRef>
          </c:tx>
          <c:spPr>
            <a:ln w="28575" cap="rnd">
              <a:solidFill>
                <a:srgbClr val="3E7A3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Fx'!$Q$12:$AF$12</c:f>
              <c:numCache>
                <c:formatCode>_(* #,##0_);_(* \(#,##0\);_(* "-"??_);_(@_)</c:formatCode>
                <c:ptCount val="16"/>
                <c:pt idx="0">
                  <c:v>4424</c:v>
                </c:pt>
                <c:pt idx="1">
                  <c:v>4503</c:v>
                </c:pt>
                <c:pt idx="2">
                  <c:v>4608</c:v>
                </c:pt>
                <c:pt idx="3">
                  <c:v>4649</c:v>
                </c:pt>
                <c:pt idx="4">
                  <c:v>4691</c:v>
                </c:pt>
                <c:pt idx="5">
                  <c:v>4718</c:v>
                </c:pt>
                <c:pt idx="6">
                  <c:v>4755.5960281308016</c:v>
                </c:pt>
                <c:pt idx="7">
                  <c:v>4793.4916453525766</c:v>
                </c:pt>
                <c:pt idx="8">
                  <c:v>4831.6892389819623</c:v>
                </c:pt>
                <c:pt idx="9">
                  <c:v>4870.191215359253</c:v>
                </c:pt>
                <c:pt idx="10">
                  <c:v>4909</c:v>
                </c:pt>
                <c:pt idx="11">
                  <c:v>4938.2493632340793</c:v>
                </c:pt>
                <c:pt idx="12">
                  <c:v>4967.673003357464</c:v>
                </c:pt>
                <c:pt idx="13">
                  <c:v>4997.2719587665761</c:v>
                </c:pt>
                <c:pt idx="14">
                  <c:v>5027.0472740449304</c:v>
                </c:pt>
                <c:pt idx="15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E-4A4C-946B-D4267513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403696"/>
        <c:axId val="1302404528"/>
      </c:lineChart>
      <c:lineChart>
        <c:grouping val="standard"/>
        <c:varyColors val="0"/>
        <c:ser>
          <c:idx val="6"/>
          <c:order val="6"/>
          <c:tx>
            <c:strRef>
              <c:f>'Base Output Fx'!$P$13</c:f>
              <c:strCache>
                <c:ptCount val="1"/>
                <c:pt idx="0">
                  <c:v>RVUs per RO Secondary Axis</c:v>
                </c:pt>
              </c:strCache>
            </c:strRef>
          </c:tx>
          <c:spPr>
            <a:ln w="28575" cap="rnd">
              <a:solidFill>
                <a:srgbClr val="FFDDDD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'Base Output Fx'!$Q$5:$AF$5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'Base Output Fx'!$Q$13:$AF$13</c:f>
              <c:numCache>
                <c:formatCode>_(* #,##0_);_(* \(#,##0\);_(* "-"??_);_(@_)</c:formatCode>
                <c:ptCount val="16"/>
                <c:pt idx="0">
                  <c:v>9789.5982547883941</c:v>
                </c:pt>
                <c:pt idx="1">
                  <c:v>9801.0361174523405</c:v>
                </c:pt>
                <c:pt idx="2">
                  <c:v>9698.0350313784566</c:v>
                </c:pt>
                <c:pt idx="3">
                  <c:v>9804.5714545700066</c:v>
                </c:pt>
                <c:pt idx="4">
                  <c:v>10000</c:v>
                </c:pt>
                <c:pt idx="5">
                  <c:v>10143.014991994272</c:v>
                </c:pt>
                <c:pt idx="6">
                  <c:v>10288.075312782057</c:v>
                </c:pt>
                <c:pt idx="7">
                  <c:v>10435.210213631457</c:v>
                </c:pt>
                <c:pt idx="8">
                  <c:v>10584.449364147562</c:v>
                </c:pt>
                <c:pt idx="9">
                  <c:v>10735.822858255297</c:v>
                </c:pt>
                <c:pt idx="10">
                  <c:v>10889.361220267827</c:v>
                </c:pt>
                <c:pt idx="11">
                  <c:v>11045.095411041761</c:v>
                </c:pt>
                <c:pt idx="12">
                  <c:v>11203.056834220371</c:v>
                </c:pt>
                <c:pt idx="13">
                  <c:v>11363.277342566113</c:v>
                </c:pt>
                <c:pt idx="14">
                  <c:v>11525.789244383692</c:v>
                </c:pt>
                <c:pt idx="15">
                  <c:v>11690.625310035006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E-4A4C-946B-D4267513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51728"/>
        <c:axId val="812550064"/>
      </c:lineChart>
      <c:catAx>
        <c:axId val="13024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4528"/>
        <c:crosses val="autoZero"/>
        <c:auto val="1"/>
        <c:lblAlgn val="ctr"/>
        <c:lblOffset val="100"/>
        <c:noMultiLvlLbl val="0"/>
      </c:catAx>
      <c:valAx>
        <c:axId val="1302404528"/>
        <c:scaling>
          <c:orientation val="minMax"/>
          <c:max val="75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ROs</a:t>
                </a:r>
                <a:r>
                  <a:rPr lang="en-US" sz="2000" baseline="0"/>
                  <a:t> (or ROs*RVU Ratio)</a:t>
                </a:r>
                <a:r>
                  <a:rPr lang="en-US" sz="2000"/>
                  <a:t> </a:t>
                </a:r>
                <a:r>
                  <a:rPr lang="en-US" sz="2000" baseline="0"/>
                  <a:t> 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4.488860733036849E-3"/>
              <c:y val="0.20225373299697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173A5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403696"/>
        <c:crosses val="autoZero"/>
        <c:crossBetween val="between"/>
        <c:majorUnit val="1000"/>
      </c:valAx>
      <c:valAx>
        <c:axId val="812550064"/>
        <c:scaling>
          <c:orientation val="minMax"/>
          <c:max val="15000"/>
          <c:min val="5000"/>
        </c:scaling>
        <c:delete val="0"/>
        <c:axPos val="r"/>
        <c:majorGridlines>
          <c:spPr>
            <a:ln w="9525" cap="flat" cmpd="sng" algn="ctr">
              <a:solidFill>
                <a:srgbClr val="FFDDDD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rgbClr val="FFDDDD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rgbClr val="FF8F8F"/>
                    </a:solidFill>
                  </a:rPr>
                  <a:t>RVUs per 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rgbClr val="FFDDDD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8F8F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551728"/>
        <c:crosses val="max"/>
        <c:crossBetween val="between"/>
      </c:valAx>
      <c:catAx>
        <c:axId val="81255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255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25</xdr:row>
      <xdr:rowOff>152400</xdr:rowOff>
    </xdr:from>
    <xdr:to>
      <xdr:col>3</xdr:col>
      <xdr:colOff>3321050</xdr:colOff>
      <xdr:row>46</xdr:row>
      <xdr:rowOff>167919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73C73-BDCA-46DC-B95C-77EC17B84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2520951</xdr:colOff>
      <xdr:row>25</xdr:row>
      <xdr:rowOff>152400</xdr:rowOff>
    </xdr:from>
    <xdr:to>
      <xdr:col>6</xdr:col>
      <xdr:colOff>437446</xdr:colOff>
      <xdr:row>46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6A481-DC2C-4787-892E-448314DB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2363611</xdr:colOff>
      <xdr:row>85</xdr:row>
      <xdr:rowOff>14111</xdr:rowOff>
    </xdr:from>
    <xdr:to>
      <xdr:col>3</xdr:col>
      <xdr:colOff>3254640</xdr:colOff>
      <xdr:row>103</xdr:row>
      <xdr:rowOff>42292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F0277B-0443-45DA-BEF5-9B9E3967C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3466307</xdr:colOff>
      <xdr:row>103</xdr:row>
      <xdr:rowOff>28181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6065B7-1909-451C-8159-0B0861C8F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1155700</xdr:colOff>
      <xdr:row>47</xdr:row>
      <xdr:rowOff>139700</xdr:rowOff>
    </xdr:from>
    <xdr:to>
      <xdr:col>5</xdr:col>
      <xdr:colOff>617963</xdr:colOff>
      <xdr:row>49</xdr:row>
      <xdr:rowOff>95210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FB9048-58C8-4446-80F8-55E439BB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2250" y="10191750"/>
          <a:ext cx="9295238" cy="323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651668</xdr:colOff>
      <xdr:row>66</xdr:row>
      <xdr:rowOff>55958</xdr:rowOff>
    </xdr:from>
    <xdr:to>
      <xdr:col>7</xdr:col>
      <xdr:colOff>663575</xdr:colOff>
      <xdr:row>78</xdr:row>
      <xdr:rowOff>1589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062FD2-C4AE-4B45-AAD0-23448628D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19</xdr:row>
      <xdr:rowOff>88900</xdr:rowOff>
    </xdr:from>
    <xdr:to>
      <xdr:col>11</xdr:col>
      <xdr:colOff>732210</xdr:colOff>
      <xdr:row>47</xdr:row>
      <xdr:rowOff>28219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D84B7A-6E1F-4DC3-8B9C-EA881E94B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651668</xdr:colOff>
      <xdr:row>66</xdr:row>
      <xdr:rowOff>55958</xdr:rowOff>
    </xdr:from>
    <xdr:to>
      <xdr:col>7</xdr:col>
      <xdr:colOff>663575</xdr:colOff>
      <xdr:row>78</xdr:row>
      <xdr:rowOff>1589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7F41-7720-4FE5-B0EE-D7F8BEA25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19</xdr:row>
      <xdr:rowOff>88900</xdr:rowOff>
    </xdr:from>
    <xdr:to>
      <xdr:col>11</xdr:col>
      <xdr:colOff>732210</xdr:colOff>
      <xdr:row>47</xdr:row>
      <xdr:rowOff>28219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6BD9C0-7BF9-49C7-8623-85110B16A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148167</xdr:colOff>
      <xdr:row>28</xdr:row>
      <xdr:rowOff>89896</xdr:rowOff>
    </xdr:from>
    <xdr:to>
      <xdr:col>28</xdr:col>
      <xdr:colOff>31594</xdr:colOff>
      <xdr:row>45</xdr:row>
      <xdr:rowOff>106826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88FE28-B615-EE89-470E-59C868565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607218</xdr:colOff>
      <xdr:row>25</xdr:row>
      <xdr:rowOff>125808</xdr:rowOff>
    </xdr:from>
    <xdr:to>
      <xdr:col>12</xdr:col>
      <xdr:colOff>619125</xdr:colOff>
      <xdr:row>34</xdr:row>
      <xdr:rowOff>261939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5D9E7F-9674-41A2-79C5-E7544E045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148167</xdr:colOff>
      <xdr:row>28</xdr:row>
      <xdr:rowOff>89896</xdr:rowOff>
    </xdr:from>
    <xdr:to>
      <xdr:col>28</xdr:col>
      <xdr:colOff>31594</xdr:colOff>
      <xdr:row>45</xdr:row>
      <xdr:rowOff>106826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695504-C215-44C7-A553-728375261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607218</xdr:colOff>
      <xdr:row>25</xdr:row>
      <xdr:rowOff>125808</xdr:rowOff>
    </xdr:from>
    <xdr:to>
      <xdr:col>12</xdr:col>
      <xdr:colOff>619125</xdr:colOff>
      <xdr:row>34</xdr:row>
      <xdr:rowOff>261939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297D9F-47A0-42ED-BE96-10188D30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 Vachon" id="{57FC815E-9357-45C2-A2AB-3A0D7D4F0861}" userId="S::gvachon@healthmanagement.com::93298141-3466-4ebd-a34b-7ffabd0127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dT="2022-11-26T19:48:51.25" personId="{57FC815E-9357-45C2-A2AB-3A0D7D4F0861}" id="{DFB78A79-8A7A-4A95-9384-353E3C3038EE}">
    <text xml:space="preserve">Is this all RVU? Only RVUs related to ROs? How about on commercial? </text>
  </threadedComment>
  <threadedComment ref="B25" dT="2022-11-26T19:50:34.56" personId="{57FC815E-9357-45C2-A2AB-3A0D7D4F0861}" id="{55419313-9440-4FA7-B20C-60E0B9CF5CB7}" parentId="{DFB78A79-8A7A-4A95-9384-353E3C3038EE}">
    <text>Prostate is surprising. Can we get # of patients? And umber of 77427s?</text>
  </threadedComment>
  <threadedComment ref="B25" dT="2022-11-27T00:29:21.49" personId="{57FC815E-9357-45C2-A2AB-3A0D7D4F0861}" id="{EF0D4BD0-2878-4B6F-9218-59FBD8634B5F}" parentId="{DFB78A79-8A7A-4A95-9384-353E3C3038EE}">
    <text>Is this inflated by D21 from an existing number in FFS?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5" dT="2022-11-26T19:48:51.25" personId="{57FC815E-9357-45C2-A2AB-3A0D7D4F0861}" id="{9CD6FC61-598C-40FB-836D-C55936696473}">
    <text xml:space="preserve">Is this all RVU? Only RVUs related to ROs? How about on commercial? </text>
  </threadedComment>
  <threadedComment ref="B25" dT="2022-11-26T19:50:34.56" personId="{57FC815E-9357-45C2-A2AB-3A0D7D4F0861}" id="{7D00128F-70FD-49EA-9270-EE496D554776}" parentId="{9CD6FC61-598C-40FB-836D-C55936696473}">
    <text>Prostate is surprising. Can we get # of patients? And umber of 77427s?</text>
  </threadedComment>
  <threadedComment ref="B25" dT="2022-11-27T00:29:21.49" personId="{57FC815E-9357-45C2-A2AB-3A0D7D4F0861}" id="{C3FB0B2F-1729-408F-B80C-6217CDEF2C47}" parentId="{9CD6FC61-598C-40FB-836D-C55936696473}">
    <text>Is this inflated by D21 from an existing number in FFS?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AC1A-9A28-49D8-90B6-EF4AB1C05883}">
  <sheetPr>
    <tabColor rgb="FF002060"/>
  </sheetPr>
  <dimension ref="A1:O84"/>
  <sheetViews>
    <sheetView showGridLines="0" tabSelected="1" zoomScale="60" zoomScaleNormal="60" workbookViewId="0">
      <selection activeCell="D17" sqref="D17"/>
    </sheetView>
  </sheetViews>
  <sheetFormatPr defaultRowHeight="14.5" x14ac:dyDescent="0.35"/>
  <cols>
    <col min="1" max="1" width="3.26953125" customWidth="1"/>
    <col min="2" max="2" width="1.54296875" customWidth="1"/>
    <col min="3" max="3" width="36.90625" customWidth="1"/>
    <col min="4" max="5" width="51.90625" customWidth="1"/>
    <col min="6" max="8" width="13.54296875" customWidth="1"/>
    <col min="9" max="13" width="12.36328125" customWidth="1"/>
    <col min="14" max="15" width="1.6328125" customWidth="1"/>
    <col min="17" max="17" width="9.08984375" bestFit="1" customWidth="1"/>
    <col min="21" max="21" width="10.1796875" customWidth="1"/>
    <col min="22" max="25" width="10.6328125" customWidth="1"/>
  </cols>
  <sheetData>
    <row r="1" spans="1:15" x14ac:dyDescent="0.35">
      <c r="A1" s="122"/>
      <c r="B1" s="122"/>
      <c r="C1" s="122"/>
      <c r="D1" s="129" t="s">
        <v>289</v>
      </c>
      <c r="E1" s="129" t="s">
        <v>301</v>
      </c>
      <c r="F1" s="130" t="s">
        <v>290</v>
      </c>
      <c r="G1" s="122"/>
      <c r="H1" s="122"/>
      <c r="I1" s="122"/>
      <c r="J1" s="122"/>
      <c r="K1" s="122"/>
      <c r="L1" s="122"/>
      <c r="M1" s="122"/>
      <c r="N1" s="122"/>
      <c r="O1" s="122"/>
    </row>
    <row r="2" spans="1:15" x14ac:dyDescent="0.35">
      <c r="A2" s="123" t="s">
        <v>291</v>
      </c>
      <c r="B2" s="123"/>
      <c r="C2" s="123"/>
      <c r="D2" s="123"/>
      <c r="E2" s="123"/>
      <c r="F2" s="131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5.5" customHeight="1" x14ac:dyDescent="0.35">
      <c r="C3" s="132" t="s">
        <v>292</v>
      </c>
      <c r="D3" s="159">
        <v>10000</v>
      </c>
      <c r="E3" s="133">
        <f>'Balanced Output Detail'!H3</f>
        <v>10000</v>
      </c>
      <c r="F3" s="134" t="str">
        <f>IF(E3&lt;&gt;D3,"Variance","-")</f>
        <v>-</v>
      </c>
      <c r="G3" s="135"/>
    </row>
    <row r="4" spans="1:15" x14ac:dyDescent="0.35">
      <c r="C4" s="136"/>
      <c r="D4" s="136"/>
      <c r="E4" s="136"/>
      <c r="F4" s="137"/>
      <c r="G4" s="136"/>
      <c r="H4" s="136"/>
    </row>
    <row r="5" spans="1:15" x14ac:dyDescent="0.35">
      <c r="C5" s="68" t="s">
        <v>34</v>
      </c>
      <c r="D5" s="34" t="s">
        <v>61</v>
      </c>
      <c r="E5" s="34" t="s">
        <v>72</v>
      </c>
      <c r="F5" s="138"/>
    </row>
    <row r="6" spans="1:15" ht="26.5" customHeight="1" x14ac:dyDescent="0.35">
      <c r="C6" s="139" t="s">
        <v>65</v>
      </c>
      <c r="D6" s="160" t="s">
        <v>37</v>
      </c>
      <c r="E6" s="140" t="str">
        <f>'Balanced Output Detail'!D8</f>
        <v>Trend accelerates to RVUs to second highest region (in 2030 average becomes equal to 2019 second highest region)</v>
      </c>
      <c r="F6" s="134" t="str">
        <f>IF(E6&lt;&gt;D6,"Variance","-")</f>
        <v>Variance</v>
      </c>
      <c r="G6" s="141"/>
      <c r="H6" s="141"/>
    </row>
    <row r="7" spans="1:15" ht="27.5" customHeight="1" x14ac:dyDescent="0.35">
      <c r="C7" s="139" t="s">
        <v>109</v>
      </c>
      <c r="D7" s="160" t="s">
        <v>72</v>
      </c>
      <c r="E7" s="140" t="str">
        <f>'Balanced Output Detail'!D9</f>
        <v>Risk for exit by 2025 and by 2030 same as by 2020 (risk by years since anchor date, all in 5 year increments)</v>
      </c>
      <c r="F7" s="134" t="str">
        <f>IF(E7&lt;&gt;D7,"Variance","-")</f>
        <v>-</v>
      </c>
      <c r="G7" s="141"/>
      <c r="H7" s="141"/>
    </row>
    <row r="8" spans="1:15" x14ac:dyDescent="0.35">
      <c r="C8" s="142" t="s">
        <v>71</v>
      </c>
      <c r="F8" s="138"/>
    </row>
    <row r="9" spans="1:15" x14ac:dyDescent="0.35">
      <c r="C9" s="68" t="s">
        <v>66</v>
      </c>
      <c r="D9" s="34"/>
      <c r="F9" s="138"/>
    </row>
    <row r="10" spans="1:15" ht="15.5" x14ac:dyDescent="0.35">
      <c r="C10" s="52" t="s">
        <v>244</v>
      </c>
      <c r="D10" s="161" t="s">
        <v>116</v>
      </c>
      <c r="E10" s="166" t="str">
        <f>'Balanced Output Detail'!D12</f>
        <v xml:space="preserve">Medium </v>
      </c>
      <c r="F10" s="134" t="str">
        <f>IF(E10&lt;&gt;D10,"Variance","-")</f>
        <v>Variance</v>
      </c>
      <c r="G10" s="141"/>
      <c r="H10" s="141"/>
    </row>
    <row r="11" spans="1:15" ht="15.5" x14ac:dyDescent="0.35">
      <c r="C11" s="52" t="s">
        <v>112</v>
      </c>
      <c r="D11" s="161" t="s">
        <v>116</v>
      </c>
      <c r="E11" s="166" t="str">
        <f>'Balanced Output Detail'!D13</f>
        <v xml:space="preserve">Medium </v>
      </c>
      <c r="F11" s="134" t="str">
        <f>IF(E11&lt;&gt;D11,"Variance","-")</f>
        <v>Variance</v>
      </c>
      <c r="G11" s="141"/>
      <c r="H11" s="141"/>
    </row>
    <row r="12" spans="1:15" ht="15.5" x14ac:dyDescent="0.35">
      <c r="C12" s="52" t="s">
        <v>113</v>
      </c>
      <c r="D12" s="161" t="s">
        <v>116</v>
      </c>
      <c r="E12" s="166" t="str">
        <f>'Balanced Output Detail'!D14</f>
        <v xml:space="preserve">Medium </v>
      </c>
      <c r="F12" s="134" t="str">
        <f t="shared" ref="F12:F17" si="0">IF(E12&lt;&gt;D12,"Variance","-")</f>
        <v>Variance</v>
      </c>
      <c r="G12" s="141"/>
      <c r="H12" s="141"/>
    </row>
    <row r="13" spans="1:15" ht="15.5" x14ac:dyDescent="0.35">
      <c r="C13" s="52" t="s">
        <v>117</v>
      </c>
      <c r="D13" s="161" t="s">
        <v>116</v>
      </c>
      <c r="E13" s="166" t="str">
        <f>'Balanced Output Detail'!D15</f>
        <v xml:space="preserve">Medium </v>
      </c>
      <c r="F13" s="134" t="str">
        <f t="shared" si="0"/>
        <v>Variance</v>
      </c>
      <c r="G13" s="141"/>
      <c r="H13" s="141"/>
    </row>
    <row r="14" spans="1:15" ht="29" x14ac:dyDescent="0.35">
      <c r="C14" s="52" t="s">
        <v>110</v>
      </c>
      <c r="D14" s="162" t="s">
        <v>262</v>
      </c>
      <c r="E14" s="165" t="str">
        <f>'Balanced Output Detail'!D16</f>
        <v>Mid-range: early breast cancer down 20%, prostate down 10%, all others down 3%</v>
      </c>
      <c r="F14" s="134" t="str">
        <f t="shared" si="0"/>
        <v>Variance</v>
      </c>
      <c r="G14" s="141"/>
      <c r="H14" s="141"/>
    </row>
    <row r="15" spans="1:15" ht="29" x14ac:dyDescent="0.35">
      <c r="C15" s="52" t="s">
        <v>266</v>
      </c>
      <c r="D15" s="162"/>
      <c r="E15" s="165" t="str">
        <f>'Balanced Output Detail'!D17</f>
        <v>10% of patients with metastatic cancer have new indication with 20 RVUs</v>
      </c>
      <c r="F15" s="134" t="str">
        <f t="shared" si="0"/>
        <v>Variance</v>
      </c>
      <c r="G15" s="141"/>
      <c r="H15" s="141"/>
    </row>
    <row r="16" spans="1:15" ht="29" x14ac:dyDescent="0.35">
      <c r="C16" s="52" t="s">
        <v>267</v>
      </c>
      <c r="D16" s="163"/>
      <c r="E16" s="165" t="str">
        <f>'Balanced Output Detail'!D18</f>
        <v>3% of patients with all cancers have new treatment with 20 RVUs</v>
      </c>
      <c r="F16" s="134"/>
      <c r="G16" s="141"/>
      <c r="H16" s="141"/>
    </row>
    <row r="17" spans="1:9" ht="43" customHeight="1" x14ac:dyDescent="0.35">
      <c r="C17" s="52" t="s">
        <v>111</v>
      </c>
      <c r="D17" s="162" t="s">
        <v>156</v>
      </c>
      <c r="E17" s="165" t="str">
        <f>'Balanced Output Detail'!D19</f>
        <v xml:space="preserve">No movement of demand not otherwise modeled </v>
      </c>
      <c r="F17" s="134" t="str">
        <f t="shared" si="0"/>
        <v>-</v>
      </c>
      <c r="G17" s="141"/>
      <c r="H17" s="141"/>
    </row>
    <row r="19" spans="1:9" x14ac:dyDescent="0.35">
      <c r="A19" s="123" t="s">
        <v>293</v>
      </c>
      <c r="B19" s="123"/>
      <c r="C19" s="123"/>
      <c r="D19" s="123"/>
      <c r="E19" s="123"/>
      <c r="F19" s="123"/>
      <c r="G19" s="123"/>
      <c r="H19" s="123"/>
      <c r="I19" s="123"/>
    </row>
    <row r="21" spans="1:9" x14ac:dyDescent="0.35">
      <c r="C21" s="143" t="s">
        <v>294</v>
      </c>
      <c r="D21" s="143" t="s">
        <v>289</v>
      </c>
      <c r="E21" s="143" t="s">
        <v>302</v>
      </c>
      <c r="F21" s="143" t="s">
        <v>290</v>
      </c>
    </row>
    <row r="22" spans="1:9" x14ac:dyDescent="0.35">
      <c r="C22" s="22">
        <v>2015</v>
      </c>
      <c r="D22" s="144">
        <f>'Live Output Detail'!AU73</f>
        <v>0</v>
      </c>
      <c r="E22" s="145">
        <f>'Balanced Output Detail'!AU73</f>
        <v>0</v>
      </c>
      <c r="F22" s="146">
        <f>E22-D22</f>
        <v>0</v>
      </c>
    </row>
    <row r="23" spans="1:9" x14ac:dyDescent="0.35">
      <c r="C23" s="22">
        <v>2020</v>
      </c>
      <c r="D23" s="144">
        <f>'Live Output Detail'!AV73</f>
        <v>-27.757356065533106</v>
      </c>
      <c r="E23" s="145">
        <f>'Balanced Output Detail'!AV73</f>
        <v>6.0763340757998971</v>
      </c>
      <c r="F23" s="146">
        <f t="shared" ref="F23:F25" si="1">E23-D23</f>
        <v>33.833690141333001</v>
      </c>
    </row>
    <row r="24" spans="1:9" x14ac:dyDescent="0.35">
      <c r="C24" s="22">
        <v>2025</v>
      </c>
      <c r="D24" s="144">
        <f>'Live Output Detail'!AW73</f>
        <v>24.695569787754653</v>
      </c>
      <c r="E24" s="145">
        <f>'Balanced Output Detail'!AW73</f>
        <v>65.858073017267571</v>
      </c>
      <c r="F24" s="146">
        <f t="shared" si="1"/>
        <v>41.162503229512922</v>
      </c>
    </row>
    <row r="25" spans="1:9" x14ac:dyDescent="0.35">
      <c r="C25" s="22">
        <v>2030</v>
      </c>
      <c r="D25" s="144">
        <f>'Live Output Detail'!AX73</f>
        <v>-205.66317480932847</v>
      </c>
      <c r="E25" s="145">
        <f>'Balanced Output Detail'!AX73</f>
        <v>-117.84086895285509</v>
      </c>
      <c r="F25" s="146">
        <f t="shared" si="1"/>
        <v>87.822305856473378</v>
      </c>
    </row>
    <row r="46" spans="2:9" ht="18.5" x14ac:dyDescent="0.45">
      <c r="C46" s="147"/>
      <c r="D46" s="147"/>
      <c r="E46" s="148"/>
      <c r="F46" s="148"/>
      <c r="G46" s="148"/>
      <c r="H46" s="148"/>
    </row>
    <row r="47" spans="2:9" ht="18.5" customHeight="1" x14ac:dyDescent="0.45">
      <c r="B47" s="149"/>
      <c r="C47" s="149"/>
      <c r="D47" s="149"/>
      <c r="E47" s="150"/>
      <c r="F47" s="150"/>
      <c r="G47" s="150"/>
      <c r="H47" s="151"/>
    </row>
    <row r="48" spans="2:9" ht="14.5" customHeight="1" x14ac:dyDescent="0.35">
      <c r="C48" s="152"/>
      <c r="G48" s="153"/>
      <c r="H48" s="153"/>
      <c r="I48" s="153"/>
    </row>
    <row r="52" spans="1:9" x14ac:dyDescent="0.35">
      <c r="A52" s="123" t="s">
        <v>295</v>
      </c>
      <c r="B52" s="123"/>
      <c r="C52" s="123"/>
      <c r="D52" s="123"/>
      <c r="E52" s="123"/>
      <c r="F52" s="123"/>
      <c r="G52" s="123"/>
      <c r="H52" s="123"/>
      <c r="I52" s="123"/>
    </row>
    <row r="54" spans="1:9" x14ac:dyDescent="0.35">
      <c r="B54" s="142" t="s">
        <v>41</v>
      </c>
    </row>
    <row r="55" spans="1:9" x14ac:dyDescent="0.35">
      <c r="B55" s="154"/>
    </row>
    <row r="56" spans="1:9" x14ac:dyDescent="0.35">
      <c r="B56" s="154"/>
      <c r="C56" s="143" t="s">
        <v>296</v>
      </c>
      <c r="D56" s="143" t="s">
        <v>289</v>
      </c>
      <c r="E56" s="143" t="s">
        <v>302</v>
      </c>
      <c r="F56" s="155" t="s">
        <v>290</v>
      </c>
    </row>
    <row r="57" spans="1:9" x14ac:dyDescent="0.35">
      <c r="C57" s="22" t="s">
        <v>0</v>
      </c>
      <c r="D57" s="144">
        <f>'Live Output Detail'!K52</f>
        <v>4909</v>
      </c>
      <c r="E57" s="145">
        <f>'Balanced Output Detail'!K52</f>
        <v>4909</v>
      </c>
      <c r="F57" s="156">
        <f>E57-D57</f>
        <v>0</v>
      </c>
    </row>
    <row r="58" spans="1:9" x14ac:dyDescent="0.35">
      <c r="C58" s="22" t="s">
        <v>1</v>
      </c>
      <c r="D58" s="144">
        <f>'Live Output Detail'!K53</f>
        <v>983</v>
      </c>
      <c r="E58" s="145">
        <f>'Balanced Output Detail'!K53</f>
        <v>983</v>
      </c>
      <c r="F58" s="156">
        <f t="shared" ref="F58:F59" si="2">E58-D58</f>
        <v>0</v>
      </c>
    </row>
    <row r="59" spans="1:9" x14ac:dyDescent="0.35">
      <c r="C59" s="22" t="s">
        <v>2</v>
      </c>
      <c r="D59" s="144">
        <f>'Live Output Detail'!K54</f>
        <v>792</v>
      </c>
      <c r="E59" s="145">
        <f>'Balanced Output Detail'!K54</f>
        <v>792</v>
      </c>
      <c r="F59" s="156">
        <f t="shared" si="2"/>
        <v>0</v>
      </c>
    </row>
    <row r="60" spans="1:9" x14ac:dyDescent="0.35">
      <c r="D60" s="84">
        <v>0</v>
      </c>
      <c r="F60" s="157"/>
    </row>
    <row r="61" spans="1:9" x14ac:dyDescent="0.35">
      <c r="C61" s="143" t="s">
        <v>297</v>
      </c>
      <c r="D61" s="143" t="s">
        <v>289</v>
      </c>
      <c r="E61" s="143" t="s">
        <v>302</v>
      </c>
      <c r="F61" s="155" t="s">
        <v>290</v>
      </c>
    </row>
    <row r="62" spans="1:9" x14ac:dyDescent="0.35">
      <c r="C62" s="22" t="s">
        <v>0</v>
      </c>
      <c r="D62" s="144">
        <f>'Live Output Detail'!M52</f>
        <v>5057</v>
      </c>
      <c r="E62" s="145">
        <f>'Balanced Output Detail'!M52</f>
        <v>5057</v>
      </c>
      <c r="F62" s="156">
        <f>E62-D62</f>
        <v>0</v>
      </c>
    </row>
    <row r="63" spans="1:9" x14ac:dyDescent="0.35">
      <c r="C63" s="22" t="s">
        <v>1</v>
      </c>
      <c r="D63" s="144">
        <f>'Live Output Detail'!M53</f>
        <v>945</v>
      </c>
      <c r="E63" s="145">
        <f>'Balanced Output Detail'!M53</f>
        <v>945</v>
      </c>
      <c r="F63" s="156">
        <f t="shared" ref="F63:F64" si="3">E63-D63</f>
        <v>0</v>
      </c>
    </row>
    <row r="64" spans="1:9" x14ac:dyDescent="0.35">
      <c r="C64" s="22" t="s">
        <v>2</v>
      </c>
      <c r="D64" s="144">
        <f>'Live Output Detail'!M54</f>
        <v>797</v>
      </c>
      <c r="E64" s="145">
        <f>'Balanced Output Detail'!M54</f>
        <v>797</v>
      </c>
      <c r="F64" s="156">
        <f t="shared" si="3"/>
        <v>0</v>
      </c>
    </row>
    <row r="65" spans="3:6" x14ac:dyDescent="0.35">
      <c r="F65" s="157"/>
    </row>
    <row r="66" spans="3:6" x14ac:dyDescent="0.35">
      <c r="F66" s="157"/>
    </row>
    <row r="67" spans="3:6" x14ac:dyDescent="0.35">
      <c r="C67" s="142" t="s">
        <v>8</v>
      </c>
      <c r="F67" s="157"/>
    </row>
    <row r="68" spans="3:6" x14ac:dyDescent="0.35">
      <c r="F68" s="157"/>
    </row>
    <row r="69" spans="3:6" x14ac:dyDescent="0.35">
      <c r="C69" s="143" t="s">
        <v>296</v>
      </c>
      <c r="D69" s="143" t="s">
        <v>289</v>
      </c>
      <c r="E69" s="143" t="s">
        <v>302</v>
      </c>
      <c r="F69" s="155" t="s">
        <v>290</v>
      </c>
    </row>
    <row r="70" spans="3:6" x14ac:dyDescent="0.35">
      <c r="C70" s="158" t="s">
        <v>4</v>
      </c>
      <c r="D70" s="144">
        <f>'Live Output Detail'!K61</f>
        <v>18693127.923078276</v>
      </c>
      <c r="E70" s="145">
        <f>'Balanced Output Detail'!K61</f>
        <v>19529017.464138828</v>
      </c>
      <c r="F70" s="156">
        <f>E70-D70</f>
        <v>835889.541060552</v>
      </c>
    </row>
    <row r="71" spans="3:6" x14ac:dyDescent="0.35">
      <c r="C71" s="158" t="s">
        <v>5</v>
      </c>
      <c r="D71" s="144">
        <f>'Live Output Detail'!K62</f>
        <v>16402047.034027753</v>
      </c>
      <c r="E71" s="145">
        <f>'Balanced Output Detail'!K62</f>
        <v>17135487.666550282</v>
      </c>
      <c r="F71" s="156">
        <f t="shared" ref="F71:F74" si="4">E71-D71</f>
        <v>733440.63252252899</v>
      </c>
    </row>
    <row r="72" spans="3:6" x14ac:dyDescent="0.35">
      <c r="C72" s="158" t="s">
        <v>6</v>
      </c>
      <c r="D72" s="144">
        <f>'Live Output Detail'!K63</f>
        <v>15332205.862829214</v>
      </c>
      <c r="E72" s="145">
        <f>'Balanced Output Detail'!K63</f>
        <v>16083710.546016909</v>
      </c>
      <c r="F72" s="156">
        <f t="shared" si="4"/>
        <v>751504.68318769522</v>
      </c>
    </row>
    <row r="73" spans="3:6" x14ac:dyDescent="0.35">
      <c r="C73" s="158" t="s">
        <v>11</v>
      </c>
      <c r="D73" s="144">
        <f>'Live Output Detail'!K64</f>
        <v>50427380.819935247</v>
      </c>
      <c r="E73" s="145">
        <f>'Balanced Output Detail'!K64</f>
        <v>52748215.676706024</v>
      </c>
      <c r="F73" s="156">
        <f t="shared" si="4"/>
        <v>2320834.8567707762</v>
      </c>
    </row>
    <row r="74" spans="3:6" x14ac:dyDescent="0.35">
      <c r="C74" s="158" t="s">
        <v>298</v>
      </c>
      <c r="D74" s="144">
        <f>'Live Output Detail'!K65</f>
        <v>10272.434471365908</v>
      </c>
      <c r="E74" s="145">
        <f>'Balanced Output Detail'!K65</f>
        <v>10745.205882400902</v>
      </c>
      <c r="F74" s="156">
        <f t="shared" si="4"/>
        <v>472.77141103499343</v>
      </c>
    </row>
    <row r="75" spans="3:6" x14ac:dyDescent="0.35">
      <c r="F75" s="157"/>
    </row>
    <row r="76" spans="3:6" x14ac:dyDescent="0.35">
      <c r="C76" s="143" t="s">
        <v>297</v>
      </c>
      <c r="D76" s="143" t="s">
        <v>289</v>
      </c>
      <c r="E76" s="143" t="s">
        <v>302</v>
      </c>
      <c r="F76" s="155" t="s">
        <v>290</v>
      </c>
    </row>
    <row r="77" spans="3:6" x14ac:dyDescent="0.35">
      <c r="C77" s="158" t="s">
        <v>4</v>
      </c>
      <c r="D77" s="144">
        <f>'Live Output Detail'!M61</f>
        <v>18814893.037770815</v>
      </c>
      <c r="E77" s="145">
        <f>'Balanced Output Detail'!M61</f>
        <v>20312195.766001705</v>
      </c>
      <c r="F77" s="156">
        <f>E77-D77</f>
        <v>1497302.7282308899</v>
      </c>
    </row>
    <row r="78" spans="3:6" x14ac:dyDescent="0.35">
      <c r="C78" s="158" t="s">
        <v>5</v>
      </c>
      <c r="D78" s="144">
        <f>'Live Output Detail'!M62</f>
        <v>22993912.372978106</v>
      </c>
      <c r="E78" s="145">
        <f>'Balanced Output Detail'!M62</f>
        <v>24823784.467368782</v>
      </c>
      <c r="F78" s="156">
        <f t="shared" ref="F78:F81" si="5">E78-D78</f>
        <v>1829872.0943906754</v>
      </c>
    </row>
    <row r="79" spans="3:6" x14ac:dyDescent="0.35">
      <c r="C79" s="158" t="s">
        <v>6</v>
      </c>
      <c r="D79" s="144">
        <f>'Live Output Detail'!M63</f>
        <v>14079518.764738902</v>
      </c>
      <c r="E79" s="145">
        <f>'Balanced Output Detail'!M63</f>
        <v>15394013.655658903</v>
      </c>
      <c r="F79" s="156">
        <f t="shared" si="5"/>
        <v>1314494.8909200002</v>
      </c>
    </row>
    <row r="80" spans="3:6" x14ac:dyDescent="0.35">
      <c r="C80" s="158" t="s">
        <v>11</v>
      </c>
      <c r="D80" s="144">
        <f>'Live Output Detail'!M64</f>
        <v>55888324.175487824</v>
      </c>
      <c r="E80" s="145">
        <f>'Balanced Output Detail'!M64</f>
        <v>60529993.889029384</v>
      </c>
      <c r="F80" s="156">
        <f t="shared" si="5"/>
        <v>4641669.7135415599</v>
      </c>
    </row>
    <row r="81" spans="1:8" x14ac:dyDescent="0.35">
      <c r="C81" s="158" t="s">
        <v>298</v>
      </c>
      <c r="D81" s="144">
        <f>'Live Output Detail'!M65</f>
        <v>11051.675731755551</v>
      </c>
      <c r="E81" s="145">
        <f>'Balanced Output Detail'!M65</f>
        <v>11969.545953931063</v>
      </c>
      <c r="F81" s="156">
        <f t="shared" si="5"/>
        <v>917.87022217551203</v>
      </c>
    </row>
    <row r="84" spans="1:8" x14ac:dyDescent="0.35">
      <c r="A84" s="123" t="s">
        <v>299</v>
      </c>
      <c r="B84" s="123"/>
      <c r="C84" s="123"/>
      <c r="D84" s="123"/>
      <c r="E84" s="123"/>
      <c r="F84" s="123"/>
      <c r="G84" s="123"/>
      <c r="H84" s="123"/>
    </row>
  </sheetData>
  <sheetProtection algorithmName="SHA-512" hashValue="FO0LSIKMhdN8aJAyqSjfVo5jRWyHDMVeRfcn3/wH+cqE6L/NHlPwTabYm7uX5KBc6lJA2hZ4sVtoYfm0g8OkrQ==" saltValue="RdJA1o1cjyCEHT7P2dDyfA==" spinCount="100000" sheet="1" selectLockedCells="1"/>
  <protectedRanges>
    <protectedRange algorithmName="SHA-512" hashValue="eglT+kKilnf/ij+bMPLp8hA98CuOXHf35bBCkw21IOXOYxGTM5dnfljZmREZl/G4dDof8N+zNY0H5fSeLnjb3g==" saltValue="lWCiPDEtJ8yQ9QlRfdLHpQ==" spinCount="100000" sqref="D57:F60 D22:F25 D62:F68 D61 F61 D70:F75 D69 F69 D77:F81 D76 F76" name="Range1"/>
  </protectedRanges>
  <conditionalFormatting sqref="F3:F17">
    <cfRule type="containsText" dxfId="0" priority="1" operator="containsText" text="Variance">
      <formula>NOT(ISERROR(SEARCH("Variance",F3)))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B8C3CBF2-7693-49C5-8D40-C80A78D8F229}">
          <x14:formula1>
            <xm:f>'RO Exit Scenarios (L)'!$A$9:$A$13</xm:f>
          </x14:formula1>
          <xm:sqref>D7</xm:sqref>
        </x14:dataValidation>
        <x14:dataValidation type="list" allowBlank="1" showInputMessage="1" showErrorMessage="1" xr:uid="{0F5B80CC-303F-4C58-8F44-F77BA386ED96}">
          <x14:formula1>
            <xm:f>'RVU scenarios (L)'!$A$12:$A$16</xm:f>
          </x14:formula1>
          <xm:sqref>D6</xm:sqref>
        </x14:dataValidation>
        <x14:dataValidation type="list" allowBlank="1" showInputMessage="1" showErrorMessage="1" xr:uid="{81EC5E23-359F-4441-8CD0-1E84716EC4A4}">
          <x14:formula1>
            <xm:f>'Demand Scenarios (L)'!$A$101:$A$103</xm:f>
          </x14:formula1>
          <xm:sqref>D16</xm:sqref>
        </x14:dataValidation>
        <x14:dataValidation type="list" allowBlank="1" showInputMessage="1" showErrorMessage="1" xr:uid="{6E737D99-B7B1-49C9-9F67-57B100872397}">
          <x14:formula1>
            <xm:f>'Demand Scenarios (L)'!$A$95:$A$97</xm:f>
          </x14:formula1>
          <xm:sqref>D15</xm:sqref>
        </x14:dataValidation>
        <x14:dataValidation type="list" allowBlank="1" showInputMessage="1" showErrorMessage="1" xr:uid="{4A86C4BF-2528-4698-8214-CBD4FDDF9084}">
          <x14:formula1>
            <xm:f>'Demand Scenarios (L)'!$A$106:$A$110</xm:f>
          </x14:formula1>
          <xm:sqref>D17</xm:sqref>
        </x14:dataValidation>
        <x14:dataValidation type="list" allowBlank="1" showInputMessage="1" showErrorMessage="1" xr:uid="{1B3A6F8E-A2F3-4545-97C5-5948B7F3CD34}">
          <x14:formula1>
            <xm:f>'Demand Scenarios (L)'!$A$88:$A$91</xm:f>
          </x14:formula1>
          <xm:sqref>D14</xm:sqref>
        </x14:dataValidation>
        <x14:dataValidation type="list" allowBlank="1" showInputMessage="1" showErrorMessage="1" xr:uid="{DF1DB107-CC1D-4908-94C2-247852F02100}">
          <x14:formula1>
            <xm:f>'Demand Scenarios (L)'!$A$61:$A$63</xm:f>
          </x14:formula1>
          <xm:sqref>D12:D13</xm:sqref>
        </x14:dataValidation>
        <x14:dataValidation type="list" allowBlank="1" showInputMessage="1" showErrorMessage="1" xr:uid="{A1B72395-FBF6-4033-A15F-15C68E3AFB07}">
          <x14:formula1>
            <xm:f>'Demand Scenarios (L)'!$A$48:$A$50</xm:f>
          </x14:formula1>
          <xm:sqref>D11</xm:sqref>
        </x14:dataValidation>
        <x14:dataValidation type="list" allowBlank="1" showInputMessage="1" showErrorMessage="1" xr:uid="{1EFC339F-63B6-4D17-89D4-162236004090}">
          <x14:formula1>
            <xm:f>'Demand Scenarios (L)'!$A$35:$A$37</xm:f>
          </x14:formula1>
          <xm:sqref>D10</xm:sqref>
        </x14:dataValidation>
        <x14:dataValidation type="list" showInputMessage="1" showErrorMessage="1" xr:uid="{5B674FE9-5006-4512-B355-B39201A165AE}">
          <x14:formula1>
            <xm:f>Dropdowns!$A$4:$A$9</xm:f>
          </x14:formula1>
          <xm:sqref>D3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F511-857B-4DF5-A9A1-8D111F0B9080}">
  <sheetPr>
    <tabColor theme="5" tint="0.39997558519241921"/>
  </sheetPr>
  <dimension ref="A3:A9"/>
  <sheetViews>
    <sheetView workbookViewId="0">
      <selection sqref="A1:XFD1048576"/>
    </sheetView>
  </sheetViews>
  <sheetFormatPr defaultRowHeight="14.5" x14ac:dyDescent="0.35"/>
  <sheetData>
    <row r="3" spans="1:1" x14ac:dyDescent="0.35">
      <c r="A3" t="s">
        <v>10</v>
      </c>
    </row>
    <row r="4" spans="1:1" x14ac:dyDescent="0.35">
      <c r="A4">
        <v>8500</v>
      </c>
    </row>
    <row r="5" spans="1:1" x14ac:dyDescent="0.35">
      <c r="A5">
        <v>9000</v>
      </c>
    </row>
    <row r="6" spans="1:1" x14ac:dyDescent="0.35">
      <c r="A6">
        <v>9500</v>
      </c>
    </row>
    <row r="7" spans="1:1" x14ac:dyDescent="0.35">
      <c r="A7">
        <v>10000</v>
      </c>
    </row>
    <row r="8" spans="1:1" x14ac:dyDescent="0.35">
      <c r="A8">
        <v>11000</v>
      </c>
    </row>
    <row r="9" spans="1:1" x14ac:dyDescent="0.35">
      <c r="A9">
        <v>12000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2BF7-1CBE-4107-88B0-C155CAC68380}">
  <sheetPr>
    <tabColor theme="5" tint="0.39997558519241921"/>
  </sheetPr>
  <dimension ref="A1:O54"/>
  <sheetViews>
    <sheetView topLeftCell="A37" workbookViewId="0">
      <selection sqref="A1:XFD1048576"/>
    </sheetView>
  </sheetViews>
  <sheetFormatPr defaultRowHeight="14.5" x14ac:dyDescent="0.35"/>
  <cols>
    <col min="2" max="2" width="18" customWidth="1"/>
    <col min="3" max="3" width="9.7265625" bestFit="1" customWidth="1"/>
    <col min="4" max="4" width="11.453125" customWidth="1"/>
    <col min="7" max="7" width="9.08984375" bestFit="1" customWidth="1"/>
  </cols>
  <sheetData>
    <row r="1" spans="1:15" x14ac:dyDescent="0.35">
      <c r="A1" t="s">
        <v>57</v>
      </c>
    </row>
    <row r="2" spans="1:15" x14ac:dyDescent="0.35">
      <c r="C2">
        <v>2015</v>
      </c>
      <c r="D2">
        <v>2016</v>
      </c>
      <c r="E2">
        <v>2017</v>
      </c>
      <c r="F2">
        <v>2018</v>
      </c>
      <c r="G2">
        <v>2019</v>
      </c>
      <c r="H2" t="s">
        <v>42</v>
      </c>
      <c r="I2">
        <v>2015</v>
      </c>
      <c r="J2">
        <v>2016</v>
      </c>
      <c r="K2">
        <v>2017</v>
      </c>
      <c r="L2">
        <v>2018</v>
      </c>
      <c r="M2">
        <v>2019</v>
      </c>
    </row>
    <row r="3" spans="1:15" x14ac:dyDescent="0.35">
      <c r="A3" t="s">
        <v>43</v>
      </c>
      <c r="B3" t="s">
        <v>44</v>
      </c>
      <c r="C3" s="25">
        <v>3533.6483044982697</v>
      </c>
      <c r="D3" s="25">
        <v>3854.7142805755389</v>
      </c>
      <c r="E3" s="25">
        <v>3623.5616551724142</v>
      </c>
      <c r="F3" s="25">
        <v>3444.8768874172183</v>
      </c>
      <c r="G3" s="25">
        <v>3481.2143042071198</v>
      </c>
      <c r="H3" s="39">
        <v>-3.7304446251368306E-3</v>
      </c>
      <c r="I3" s="25">
        <v>6</v>
      </c>
      <c r="J3" s="25">
        <v>4</v>
      </c>
      <c r="K3" s="25">
        <v>4</v>
      </c>
      <c r="L3" s="25">
        <v>7</v>
      </c>
      <c r="M3" s="25">
        <v>7</v>
      </c>
      <c r="N3" s="25">
        <v>3582.9127043596727</v>
      </c>
      <c r="O3" s="25">
        <v>4</v>
      </c>
    </row>
    <row r="4" spans="1:15" x14ac:dyDescent="0.35">
      <c r="A4" t="s">
        <v>43</v>
      </c>
      <c r="B4" t="s">
        <v>45</v>
      </c>
      <c r="C4" s="25">
        <v>3478.3273043478257</v>
      </c>
      <c r="D4" s="25">
        <v>3408.4341076487253</v>
      </c>
      <c r="E4" s="25">
        <v>3326.0207713498626</v>
      </c>
      <c r="F4" s="25">
        <v>3274.0622341857338</v>
      </c>
      <c r="G4" s="25">
        <v>3209.4207509881426</v>
      </c>
      <c r="H4" s="39">
        <v>-1.9914300113644479E-2</v>
      </c>
      <c r="I4" s="25">
        <v>7</v>
      </c>
      <c r="J4" s="25">
        <v>8</v>
      </c>
      <c r="K4" s="25">
        <v>8</v>
      </c>
      <c r="L4" s="25">
        <v>8</v>
      </c>
      <c r="M4" s="25">
        <v>9</v>
      </c>
      <c r="N4" s="25">
        <v>3336.0016528697574</v>
      </c>
      <c r="O4" s="25">
        <v>8</v>
      </c>
    </row>
    <row r="5" spans="1:15" x14ac:dyDescent="0.35">
      <c r="A5" t="s">
        <v>46</v>
      </c>
      <c r="B5" t="s">
        <v>47</v>
      </c>
      <c r="C5" s="25">
        <v>3703.2519385026735</v>
      </c>
      <c r="D5" s="25">
        <v>3657.2078092783509</v>
      </c>
      <c r="E5" s="25">
        <v>3570.9560050568903</v>
      </c>
      <c r="F5" s="25">
        <v>3484.1847929736509</v>
      </c>
      <c r="G5" s="25">
        <v>3507.2109862671659</v>
      </c>
      <c r="H5" s="39">
        <v>-1.3505522176206819E-2</v>
      </c>
      <c r="I5" s="25">
        <v>4</v>
      </c>
      <c r="J5" s="25">
        <v>5</v>
      </c>
      <c r="K5" s="25">
        <v>6</v>
      </c>
      <c r="L5" s="25">
        <v>5</v>
      </c>
      <c r="M5" s="25">
        <v>6</v>
      </c>
      <c r="N5" s="25">
        <v>3582.6279555328392</v>
      </c>
      <c r="O5" s="25">
        <v>5</v>
      </c>
    </row>
    <row r="6" spans="1:15" x14ac:dyDescent="0.35">
      <c r="A6" t="s">
        <v>46</v>
      </c>
      <c r="B6" t="s">
        <v>48</v>
      </c>
      <c r="C6" s="25">
        <v>3610.3635890410965</v>
      </c>
      <c r="D6" s="25">
        <v>3572.2990957446814</v>
      </c>
      <c r="E6" s="25">
        <v>3497.7286876640419</v>
      </c>
      <c r="F6" s="25">
        <v>3458.2833762886603</v>
      </c>
      <c r="G6" s="25">
        <v>3540.739464720195</v>
      </c>
      <c r="H6" s="39">
        <v>-4.8563921067702465E-3</v>
      </c>
      <c r="I6" s="25">
        <v>5</v>
      </c>
      <c r="J6" s="25">
        <v>6</v>
      </c>
      <c r="K6" s="25">
        <v>7</v>
      </c>
      <c r="L6" s="25">
        <v>6</v>
      </c>
      <c r="M6" s="25">
        <v>4</v>
      </c>
      <c r="N6" s="25">
        <v>3534.9607860489327</v>
      </c>
      <c r="O6" s="25">
        <v>7</v>
      </c>
    </row>
    <row r="7" spans="1:15" x14ac:dyDescent="0.35">
      <c r="A7" t="s">
        <v>49</v>
      </c>
      <c r="B7" t="s">
        <v>50</v>
      </c>
      <c r="C7" s="25">
        <v>4514.3637316561844</v>
      </c>
      <c r="D7" s="25">
        <v>4633.8829175475694</v>
      </c>
      <c r="E7" s="25">
        <v>4475.8307739938073</v>
      </c>
      <c r="F7" s="25">
        <v>4398.0582489878552</v>
      </c>
      <c r="G7" s="25">
        <v>4451.8594969818914</v>
      </c>
      <c r="H7" s="39">
        <v>-3.47952744770752E-3</v>
      </c>
      <c r="I7" s="25">
        <v>2</v>
      </c>
      <c r="J7" s="25">
        <v>2</v>
      </c>
      <c r="K7" s="25">
        <v>2</v>
      </c>
      <c r="L7" s="25">
        <v>2</v>
      </c>
      <c r="M7" s="25">
        <v>2</v>
      </c>
      <c r="N7" s="25">
        <v>4493.4789012574729</v>
      </c>
      <c r="O7" s="25">
        <v>2</v>
      </c>
    </row>
    <row r="8" spans="1:15" x14ac:dyDescent="0.35">
      <c r="A8" t="s">
        <v>49</v>
      </c>
      <c r="B8" t="s">
        <v>51</v>
      </c>
      <c r="C8" s="25">
        <v>5186.054836065573</v>
      </c>
      <c r="D8" s="25">
        <v>5407.5359583333338</v>
      </c>
      <c r="E8" s="25">
        <v>5114.9970081967213</v>
      </c>
      <c r="F8" s="25">
        <v>4972.2719455252927</v>
      </c>
      <c r="G8" s="25">
        <v>4972.4523529411763</v>
      </c>
      <c r="H8" s="39">
        <v>-1.0459938188415285E-2</v>
      </c>
      <c r="I8" s="25">
        <v>1</v>
      </c>
      <c r="J8" s="25">
        <v>1</v>
      </c>
      <c r="K8" s="25">
        <v>1</v>
      </c>
      <c r="L8" s="25">
        <v>1</v>
      </c>
      <c r="M8" s="25">
        <v>1</v>
      </c>
      <c r="N8" s="25">
        <v>5126.7052580645159</v>
      </c>
      <c r="O8" s="25">
        <v>1</v>
      </c>
    </row>
    <row r="9" spans="1:15" x14ac:dyDescent="0.35">
      <c r="A9" t="s">
        <v>49</v>
      </c>
      <c r="B9" t="s">
        <v>52</v>
      </c>
      <c r="C9" s="25">
        <v>4139.085152224824</v>
      </c>
      <c r="D9" s="25">
        <v>4077.5941972477062</v>
      </c>
      <c r="E9" s="25">
        <v>4008.8385300668151</v>
      </c>
      <c r="F9" s="25">
        <v>4054.7305986696229</v>
      </c>
      <c r="G9" s="25">
        <v>4033.5757330415759</v>
      </c>
      <c r="H9" s="39">
        <v>-6.4345899059373712E-3</v>
      </c>
      <c r="I9" s="25">
        <v>3</v>
      </c>
      <c r="J9" s="25">
        <v>3</v>
      </c>
      <c r="K9" s="25">
        <v>3</v>
      </c>
      <c r="L9" s="25">
        <v>3</v>
      </c>
      <c r="M9" s="25">
        <v>3</v>
      </c>
      <c r="N9" s="25">
        <v>4061.809252252252</v>
      </c>
      <c r="O9" s="25">
        <v>3</v>
      </c>
    </row>
    <row r="10" spans="1:15" x14ac:dyDescent="0.35">
      <c r="A10" t="s">
        <v>53</v>
      </c>
      <c r="B10" t="s">
        <v>54</v>
      </c>
      <c r="C10" s="25">
        <v>3429.9022539682537</v>
      </c>
      <c r="D10" s="25">
        <v>3447.6328398791538</v>
      </c>
      <c r="E10" s="25">
        <v>3611.1976666666674</v>
      </c>
      <c r="F10" s="25">
        <v>3670.1822254335261</v>
      </c>
      <c r="G10" s="25">
        <v>3508.4146961325964</v>
      </c>
      <c r="H10" s="39">
        <v>5.6741670839597358E-3</v>
      </c>
      <c r="I10" s="25">
        <v>8</v>
      </c>
      <c r="J10" s="25">
        <v>7</v>
      </c>
      <c r="K10" s="25">
        <v>5</v>
      </c>
      <c r="L10" s="25">
        <v>4</v>
      </c>
      <c r="M10" s="25">
        <v>5</v>
      </c>
      <c r="N10" s="25">
        <v>3535.1603800475059</v>
      </c>
      <c r="O10" s="25">
        <v>6</v>
      </c>
    </row>
    <row r="11" spans="1:15" x14ac:dyDescent="0.35">
      <c r="A11" t="s">
        <v>53</v>
      </c>
      <c r="B11" t="s">
        <v>55</v>
      </c>
      <c r="C11" s="25">
        <v>3121.6154642313545</v>
      </c>
      <c r="D11" s="25">
        <v>3152.448582089552</v>
      </c>
      <c r="E11" s="25">
        <v>3088.6417296511627</v>
      </c>
      <c r="F11" s="25">
        <v>3162.220398230088</v>
      </c>
      <c r="G11" s="25">
        <v>3216.8565273775212</v>
      </c>
      <c r="H11" s="39">
        <v>7.5417982193004551E-3</v>
      </c>
      <c r="I11" s="25">
        <v>9</v>
      </c>
      <c r="J11" s="25">
        <v>9</v>
      </c>
      <c r="K11" s="25">
        <v>9</v>
      </c>
      <c r="L11" s="25">
        <v>9</v>
      </c>
      <c r="M11" s="25">
        <v>8</v>
      </c>
      <c r="N11" s="25">
        <v>3148.6599586654856</v>
      </c>
      <c r="O11" s="25">
        <v>9</v>
      </c>
    </row>
    <row r="12" spans="1:15" x14ac:dyDescent="0.35">
      <c r="A12" t="s">
        <v>56</v>
      </c>
      <c r="C12" s="25">
        <v>3834.4840413734269</v>
      </c>
      <c r="D12" s="25">
        <v>3860.4208300063046</v>
      </c>
      <c r="E12" s="25">
        <v>3764.2919720624486</v>
      </c>
      <c r="F12" s="25">
        <v>3728.7672141414141</v>
      </c>
      <c r="G12" s="25">
        <v>3731.6893772312565</v>
      </c>
      <c r="H12" s="39">
        <v>-6.7704363910064957E-3</v>
      </c>
    </row>
    <row r="13" spans="1:15" x14ac:dyDescent="0.35">
      <c r="F13" s="40" t="s">
        <v>58</v>
      </c>
      <c r="G13">
        <f>G8/G12</f>
        <v>1.3324936376753065</v>
      </c>
    </row>
    <row r="14" spans="1:15" x14ac:dyDescent="0.35">
      <c r="F14" s="40" t="s">
        <v>59</v>
      </c>
      <c r="G14">
        <f>G7/G12</f>
        <v>1.1929876918868763</v>
      </c>
    </row>
    <row r="15" spans="1:15" x14ac:dyDescent="0.35">
      <c r="F15" s="40" t="s">
        <v>60</v>
      </c>
      <c r="G15">
        <f>G11/G12</f>
        <v>0.86203759267988223</v>
      </c>
    </row>
    <row r="17" spans="1:9" x14ac:dyDescent="0.35">
      <c r="A17" t="s">
        <v>161</v>
      </c>
      <c r="C17" t="s">
        <v>4</v>
      </c>
      <c r="D17" t="s">
        <v>226</v>
      </c>
      <c r="I17" t="s">
        <v>283</v>
      </c>
    </row>
    <row r="18" spans="1:9" x14ac:dyDescent="0.35">
      <c r="A18" t="s">
        <v>43</v>
      </c>
      <c r="B18" t="s">
        <v>44</v>
      </c>
      <c r="C18" s="26">
        <f>'Region Adjust'!C24+'Region Adjust'!C50+'Region Adjust'!C34+'Region Adjust'!C26+'Region Adjust'!C44+'Region Adjust'!C11</f>
        <v>2105670</v>
      </c>
      <c r="D18" s="26">
        <f>'Region Adjust'!E24+'Region Adjust'!E50+'Region Adjust'!E34+'Region Adjust'!E26+'Region Adjust'!E44+'Region Adjust'!E11</f>
        <v>911867</v>
      </c>
      <c r="E18">
        <f>(C18+D18)/C18</f>
        <v>1.4330531374811817</v>
      </c>
      <c r="G18" s="71">
        <f>G3*E18</f>
        <v>4988.7650808883818</v>
      </c>
      <c r="H18" s="25">
        <f>G18/G$27*H$27</f>
        <v>8406.5280541407556</v>
      </c>
      <c r="I18" s="79">
        <f>(H18-H$27)/H$27</f>
        <v>-0.15934719458592445</v>
      </c>
    </row>
    <row r="19" spans="1:9" x14ac:dyDescent="0.35">
      <c r="A19" t="s">
        <v>43</v>
      </c>
      <c r="B19" t="s">
        <v>45</v>
      </c>
      <c r="C19" s="26">
        <f>'Region Adjust'!C37+'Region Adjust'!C43+'Region Adjust'!C35</f>
        <v>4819843</v>
      </c>
      <c r="D19" s="26">
        <f>'Region Adjust'!E37+'Region Adjust'!E43+'Region Adjust'!E35</f>
        <v>3157772</v>
      </c>
      <c r="E19">
        <f t="shared" ref="E19:E27" si="0">(C19+D19)/C19</f>
        <v>1.6551607593857309</v>
      </c>
      <c r="G19" s="71">
        <f t="shared" ref="G19:G26" si="1">G4*E19</f>
        <v>5312.1072873938565</v>
      </c>
      <c r="H19" s="25">
        <f t="shared" ref="H19:H26" si="2">G19/G$27*H$27</f>
        <v>8951.3894148188174</v>
      </c>
      <c r="I19" s="79">
        <f t="shared" ref="I19:I27" si="3">(H19-H$27)/H$27</f>
        <v>-0.10486105851811826</v>
      </c>
    </row>
    <row r="20" spans="1:9" x14ac:dyDescent="0.35">
      <c r="A20" t="s">
        <v>46</v>
      </c>
      <c r="B20" t="s">
        <v>47</v>
      </c>
      <c r="C20" s="26">
        <f>'Region Adjust'!C54+'Region Adjust'!C18+'Region Adjust'!C19+'Region Adjust'!C40+'Region Adjust'!C27</f>
        <v>5664631</v>
      </c>
      <c r="D20" s="26">
        <f>'Region Adjust'!E54+'Region Adjust'!E18+'Region Adjust'!E19+'Region Adjust'!E40+'Region Adjust'!E27</f>
        <v>3406061</v>
      </c>
      <c r="E20">
        <f t="shared" si="0"/>
        <v>1.6012855912415125</v>
      </c>
      <c r="G20" s="71">
        <f t="shared" si="1"/>
        <v>5616.0464177535468</v>
      </c>
      <c r="H20" s="25">
        <f t="shared" si="2"/>
        <v>9463.5548073942646</v>
      </c>
      <c r="I20" s="79">
        <f t="shared" si="3"/>
        <v>-5.3644519260573544E-2</v>
      </c>
    </row>
    <row r="21" spans="1:9" x14ac:dyDescent="0.35">
      <c r="A21" t="s">
        <v>46</v>
      </c>
      <c r="B21" t="s">
        <v>48</v>
      </c>
      <c r="C21" s="26">
        <f>'Region Adjust'!C39+'Region Adjust'!C46+'Region Adjust'!C32+'Region Adjust'!C21+'Region Adjust'!C30+'Region Adjust'!C20+'Region Adjust'!C28</f>
        <v>2778018</v>
      </c>
      <c r="D21" s="26">
        <f>'Region Adjust'!E39+'Region Adjust'!E46+'Region Adjust'!E32+'Region Adjust'!E21+'Region Adjust'!E30+'Region Adjust'!E20+'Region Adjust'!E28</f>
        <v>1284180</v>
      </c>
      <c r="E21">
        <f t="shared" si="0"/>
        <v>1.4622648233380777</v>
      </c>
      <c r="G21" s="71">
        <f t="shared" si="1"/>
        <v>5177.498767865236</v>
      </c>
      <c r="H21" s="25">
        <f t="shared" si="2"/>
        <v>8724.5616774136743</v>
      </c>
      <c r="I21" s="79">
        <f t="shared" si="3"/>
        <v>-0.12754383225863258</v>
      </c>
    </row>
    <row r="22" spans="1:9" x14ac:dyDescent="0.35">
      <c r="A22" t="s">
        <v>49</v>
      </c>
      <c r="B22" t="s">
        <v>50</v>
      </c>
      <c r="C22" s="26">
        <f>'Region Adjust'!C53+'Region Adjust'!C25+'Region Adjust'!C12+'Region Adjust'!C51+'Region Adjust'!C38+'Region Adjust'!C45+'Region Adjust'!C15+'Region Adjust'!C14</f>
        <v>8045415</v>
      </c>
      <c r="D22" s="26">
        <f>'Region Adjust'!E53+'Region Adjust'!E25+'Region Adjust'!E12+'Region Adjust'!E51+'Region Adjust'!E38+'Region Adjust'!E45+'Region Adjust'!E15+'Region Adjust'!E14</f>
        <v>4492379</v>
      </c>
      <c r="E22">
        <f t="shared" si="0"/>
        <v>1.5583775355279994</v>
      </c>
      <c r="G22" s="71">
        <f t="shared" si="1"/>
        <v>6937.6778314235589</v>
      </c>
      <c r="H22" s="25">
        <f t="shared" si="2"/>
        <v>11690.625310035006</v>
      </c>
      <c r="I22" s="79">
        <f t="shared" si="3"/>
        <v>0.16906253100350058</v>
      </c>
    </row>
    <row r="23" spans="1:9" x14ac:dyDescent="0.35">
      <c r="A23" t="s">
        <v>49</v>
      </c>
      <c r="B23" t="s">
        <v>51</v>
      </c>
      <c r="C23" s="26">
        <f>'Region Adjust'!C22+'Region Adjust'!C47+'Region Adjust'!C29+'Region Adjust'!C5</f>
        <v>2510346</v>
      </c>
      <c r="D23" s="26">
        <f>'Region Adjust'!E22+'Region Adjust'!E47+'Region Adjust'!E29+'Region Adjust'!E5</f>
        <v>1423448</v>
      </c>
      <c r="E23">
        <f t="shared" si="0"/>
        <v>1.5670325923199431</v>
      </c>
      <c r="G23" s="71">
        <f t="shared" si="1"/>
        <v>7791.9949008168123</v>
      </c>
      <c r="H23" s="25">
        <f t="shared" si="2"/>
        <v>13130.228156538809</v>
      </c>
      <c r="I23" s="79">
        <f t="shared" si="3"/>
        <v>0.31302281565388096</v>
      </c>
    </row>
    <row r="24" spans="1:9" x14ac:dyDescent="0.35">
      <c r="A24" t="s">
        <v>49</v>
      </c>
      <c r="B24" t="s">
        <v>52</v>
      </c>
      <c r="C24" s="26">
        <f>'Region Adjust'!C48+'Region Adjust'!C41+'Region Adjust'!C23+'Region Adjust'!C8</f>
        <v>4073596</v>
      </c>
      <c r="D24" s="26">
        <f>'Region Adjust'!E48+'Region Adjust'!E41+'Region Adjust'!E23+'Region Adjust'!E8</f>
        <v>2331464</v>
      </c>
      <c r="E24">
        <f t="shared" si="0"/>
        <v>1.5723355973444593</v>
      </c>
      <c r="G24" s="71">
        <f t="shared" si="1"/>
        <v>6342.1347096460413</v>
      </c>
      <c r="H24" s="25">
        <f t="shared" si="2"/>
        <v>10687.080368652089</v>
      </c>
      <c r="I24" s="79">
        <f t="shared" si="3"/>
        <v>6.8708036865208849E-2</v>
      </c>
    </row>
    <row r="25" spans="1:9" x14ac:dyDescent="0.35">
      <c r="A25" t="s">
        <v>53</v>
      </c>
      <c r="B25" t="s">
        <v>54</v>
      </c>
      <c r="C25" s="26">
        <f>'Region Adjust'!C31+'Region Adjust'!C17+'Region Adjust'!C55+'Region Adjust'!C33+'Region Adjust'!C49+'Region Adjust'!C10+'Region Adjust'!C7+'Region Adjust'!C36</f>
        <v>2681236</v>
      </c>
      <c r="D25" s="26">
        <f>'Region Adjust'!E31+'Region Adjust'!E17+'Region Adjust'!E55+'Region Adjust'!E33+'Region Adjust'!E49+'Region Adjust'!E10+'Region Adjust'!E7+'Region Adjust'!E36</f>
        <v>1585380</v>
      </c>
      <c r="E25">
        <f t="shared" si="0"/>
        <v>1.5912870034566149</v>
      </c>
      <c r="G25" s="71">
        <f t="shared" si="1"/>
        <v>5582.8947086919898</v>
      </c>
      <c r="H25" s="25">
        <f t="shared" si="2"/>
        <v>9407.6911281570247</v>
      </c>
      <c r="I25" s="79">
        <f t="shared" si="3"/>
        <v>-5.9230887184297532E-2</v>
      </c>
    </row>
    <row r="26" spans="1:9" x14ac:dyDescent="0.35">
      <c r="A26" t="s">
        <v>53</v>
      </c>
      <c r="B26" t="s">
        <v>55</v>
      </c>
      <c r="C26" s="26">
        <f>'Region Adjust'!C9+'Region Adjust'!C42+'Region Adjust'!C52+'Region Adjust'!C6+'Region Adjust'!C16</f>
        <v>5144101</v>
      </c>
      <c r="D26" s="26">
        <f>'Region Adjust'!E9+'Region Adjust'!E42+'Region Adjust'!E52+'Region Adjust'!E6+'Region Adjust'!E16</f>
        <v>3733151</v>
      </c>
      <c r="E26">
        <f t="shared" si="0"/>
        <v>1.7257149499980657</v>
      </c>
      <c r="G26" s="71">
        <f t="shared" si="1"/>
        <v>5551.3774012942504</v>
      </c>
      <c r="H26" s="25">
        <f t="shared" si="2"/>
        <v>9354.5815660641765</v>
      </c>
      <c r="I26" s="79">
        <f t="shared" si="3"/>
        <v>-6.4541843393582349E-2</v>
      </c>
    </row>
    <row r="27" spans="1:9" x14ac:dyDescent="0.35">
      <c r="A27" t="s">
        <v>106</v>
      </c>
      <c r="B27" t="s">
        <v>227</v>
      </c>
      <c r="C27" s="26">
        <f>SUM(C18:C26)</f>
        <v>37822856</v>
      </c>
      <c r="D27" s="26">
        <f>SUM(D18:D26)</f>
        <v>22325702</v>
      </c>
      <c r="E27">
        <f t="shared" si="0"/>
        <v>1.5902701266133896</v>
      </c>
      <c r="G27" s="71">
        <f>G12*E27</f>
        <v>5934.3941384113914</v>
      </c>
      <c r="H27" s="26">
        <v>10000</v>
      </c>
      <c r="I27" s="79">
        <f t="shared" si="3"/>
        <v>0</v>
      </c>
    </row>
    <row r="28" spans="1:9" x14ac:dyDescent="0.35">
      <c r="C28" s="26"/>
      <c r="F28" s="40" t="s">
        <v>58</v>
      </c>
      <c r="G28">
        <f>G23/G27</f>
        <v>1.313022815653881</v>
      </c>
    </row>
    <row r="29" spans="1:9" x14ac:dyDescent="0.35">
      <c r="F29" s="40" t="s">
        <v>59</v>
      </c>
      <c r="G29">
        <f>G22/G27</f>
        <v>1.1690625310035005</v>
      </c>
    </row>
    <row r="30" spans="1:9" x14ac:dyDescent="0.35">
      <c r="F30" s="40" t="s">
        <v>60</v>
      </c>
      <c r="G30">
        <f>G18/G27</f>
        <v>0.8406528054140755</v>
      </c>
    </row>
    <row r="32" spans="1:9" x14ac:dyDescent="0.35">
      <c r="A32" t="s">
        <v>230</v>
      </c>
    </row>
    <row r="33" spans="1:10" x14ac:dyDescent="0.35">
      <c r="C33">
        <v>2015</v>
      </c>
      <c r="D33">
        <v>2016</v>
      </c>
      <c r="E33">
        <v>2017</v>
      </c>
      <c r="F33">
        <v>2018</v>
      </c>
      <c r="G33">
        <v>2019</v>
      </c>
    </row>
    <row r="34" spans="1:10" x14ac:dyDescent="0.35">
      <c r="A34" t="s">
        <v>43</v>
      </c>
      <c r="B34" t="s">
        <v>44</v>
      </c>
      <c r="C34" s="71">
        <v>0.44068666423860375</v>
      </c>
      <c r="D34" s="71">
        <v>0.46242971275785932</v>
      </c>
      <c r="E34" s="71">
        <v>0.45346356265869436</v>
      </c>
      <c r="F34" s="71">
        <v>0.44894112580415196</v>
      </c>
      <c r="G34" s="71">
        <v>0.46419235263758396</v>
      </c>
      <c r="H34" s="71">
        <v>0.45394268361937867</v>
      </c>
      <c r="I34">
        <v>2</v>
      </c>
      <c r="J34">
        <v>1.0455835526094199</v>
      </c>
    </row>
    <row r="35" spans="1:10" x14ac:dyDescent="0.35">
      <c r="A35" t="s">
        <v>43</v>
      </c>
      <c r="B35" t="s">
        <v>45</v>
      </c>
      <c r="C35" s="71">
        <v>0.44210388800838213</v>
      </c>
      <c r="D35" s="71">
        <v>0.44326598009244217</v>
      </c>
      <c r="E35" s="71">
        <v>0.44480163545841245</v>
      </c>
      <c r="F35" s="71">
        <v>0.44810577575592797</v>
      </c>
      <c r="G35" s="71">
        <v>0.44871772979568558</v>
      </c>
      <c r="H35" s="71">
        <v>0.44539900182217007</v>
      </c>
      <c r="I35">
        <v>4</v>
      </c>
    </row>
    <row r="36" spans="1:10" x14ac:dyDescent="0.35">
      <c r="A36" t="s">
        <v>46</v>
      </c>
      <c r="B36" t="s">
        <v>47</v>
      </c>
      <c r="C36" s="71">
        <v>0.43642750771931954</v>
      </c>
      <c r="D36" s="71">
        <v>0.44713495157286948</v>
      </c>
      <c r="E36" s="71">
        <v>0.44502892834511465</v>
      </c>
      <c r="F36" s="71">
        <v>0.4375087686239712</v>
      </c>
      <c r="G36" s="71">
        <v>0.44261045504203361</v>
      </c>
      <c r="H36" s="71">
        <v>0.44174212226066167</v>
      </c>
      <c r="I36">
        <v>6</v>
      </c>
    </row>
    <row r="37" spans="1:10" x14ac:dyDescent="0.35">
      <c r="A37" t="s">
        <v>46</v>
      </c>
      <c r="B37" t="s">
        <v>48</v>
      </c>
      <c r="C37" s="71">
        <v>0.43061515577408654</v>
      </c>
      <c r="D37" s="71">
        <v>0.43891574922563092</v>
      </c>
      <c r="E37" s="71">
        <v>0.43546835486056124</v>
      </c>
      <c r="F37" s="71">
        <v>0.43846790424127841</v>
      </c>
      <c r="G37" s="71">
        <v>0.47553369955817093</v>
      </c>
      <c r="H37" s="71">
        <v>0.44380017273194561</v>
      </c>
      <c r="I37">
        <v>5</v>
      </c>
    </row>
    <row r="38" spans="1:10" x14ac:dyDescent="0.35">
      <c r="A38" t="s">
        <v>49</v>
      </c>
      <c r="B38" t="s">
        <v>50</v>
      </c>
      <c r="C38" s="71">
        <v>0.47699627347959273</v>
      </c>
      <c r="D38" s="71">
        <v>0.48551902922182999</v>
      </c>
      <c r="E38" s="71">
        <v>0.48036073240313931</v>
      </c>
      <c r="F38" s="71">
        <v>0.48126910691766511</v>
      </c>
      <c r="G38" s="71">
        <v>0.49011489015481352</v>
      </c>
      <c r="H38" s="71">
        <v>0.48285200643540815</v>
      </c>
      <c r="I38">
        <v>1</v>
      </c>
      <c r="J38">
        <v>1.1121715020230101</v>
      </c>
    </row>
    <row r="39" spans="1:10" x14ac:dyDescent="0.35">
      <c r="A39" t="s">
        <v>49</v>
      </c>
      <c r="B39" t="s">
        <v>51</v>
      </c>
      <c r="C39" s="71">
        <v>0.45113621389904562</v>
      </c>
      <c r="D39" s="71">
        <v>0.46269138924857539</v>
      </c>
      <c r="E39" s="71">
        <v>0.44495487558967983</v>
      </c>
      <c r="F39" s="71">
        <v>0.45558430710125669</v>
      </c>
      <c r="G39" s="71">
        <v>0.45205530512187186</v>
      </c>
      <c r="H39" s="71">
        <v>0.45328441819208587</v>
      </c>
      <c r="I39">
        <v>3</v>
      </c>
    </row>
    <row r="40" spans="1:10" x14ac:dyDescent="0.35">
      <c r="A40" t="s">
        <v>49</v>
      </c>
      <c r="B40" t="s">
        <v>52</v>
      </c>
      <c r="C40" s="71">
        <v>0.38679330791462568</v>
      </c>
      <c r="D40" s="71">
        <v>0.38907847701351922</v>
      </c>
      <c r="E40" s="71">
        <v>0.39392325540373679</v>
      </c>
      <c r="F40" s="71">
        <v>0.40020753553359373</v>
      </c>
      <c r="G40" s="71">
        <v>0.40341601124714349</v>
      </c>
      <c r="H40" s="71">
        <v>0.39468371742252378</v>
      </c>
      <c r="I40">
        <v>8</v>
      </c>
      <c r="J40">
        <v>0.90909010831365666</v>
      </c>
    </row>
    <row r="41" spans="1:10" x14ac:dyDescent="0.35">
      <c r="A41" t="s">
        <v>53</v>
      </c>
      <c r="B41" t="s">
        <v>54</v>
      </c>
      <c r="C41" s="71">
        <v>0.36152449599449088</v>
      </c>
      <c r="D41" s="71">
        <v>0.38185144163862311</v>
      </c>
      <c r="E41" s="71">
        <v>0.39875912369680006</v>
      </c>
      <c r="F41" s="71">
        <v>0.42492194268111627</v>
      </c>
      <c r="G41" s="71">
        <v>0.42497650835249279</v>
      </c>
      <c r="H41" s="71">
        <v>0.3984067024727046</v>
      </c>
      <c r="I41">
        <v>7</v>
      </c>
    </row>
    <row r="42" spans="1:10" x14ac:dyDescent="0.35">
      <c r="A42" t="s">
        <v>53</v>
      </c>
      <c r="B42" t="s">
        <v>55</v>
      </c>
      <c r="C42" s="71">
        <v>0.35281653689871217</v>
      </c>
      <c r="D42" s="71">
        <v>0.36335151403592669</v>
      </c>
      <c r="E42" s="71">
        <v>0.36556123235402394</v>
      </c>
      <c r="F42" s="71">
        <v>0.36882978836870839</v>
      </c>
      <c r="G42" s="71">
        <v>0.38405667872023447</v>
      </c>
      <c r="H42" s="71">
        <v>0.36692315007552112</v>
      </c>
      <c r="I42">
        <v>9</v>
      </c>
      <c r="J42">
        <v>0.8451481313272633</v>
      </c>
    </row>
    <row r="43" spans="1:10" x14ac:dyDescent="0.35">
      <c r="A43" t="s">
        <v>229</v>
      </c>
      <c r="C43" s="71">
        <v>0.4244762968510758</v>
      </c>
      <c r="D43" s="71">
        <v>0.43372717305267194</v>
      </c>
      <c r="E43" s="71">
        <v>0.43261357946742884</v>
      </c>
      <c r="F43" s="71">
        <v>0.43574934878631183</v>
      </c>
      <c r="G43" s="71">
        <v>0.44419595979322068</v>
      </c>
      <c r="H43" s="71">
        <v>0.43415247159014181</v>
      </c>
    </row>
    <row r="45" spans="1:10" x14ac:dyDescent="0.35">
      <c r="B45" t="s">
        <v>44</v>
      </c>
      <c r="H45" s="114">
        <f>H34*100</f>
        <v>45.394268361937868</v>
      </c>
      <c r="I45" s="79">
        <f>(H45-H$54)/H$54</f>
        <v>4.5583552609415275E-2</v>
      </c>
    </row>
    <row r="46" spans="1:10" x14ac:dyDescent="0.35">
      <c r="B46" t="s">
        <v>45</v>
      </c>
      <c r="H46" s="114">
        <f t="shared" ref="H46:H54" si="4">H35*100</f>
        <v>44.539900182217011</v>
      </c>
      <c r="I46" s="79">
        <f t="shared" ref="I46:I53" si="5">(H46-H$54)/H$54</f>
        <v>2.5904563414867573E-2</v>
      </c>
    </row>
    <row r="47" spans="1:10" x14ac:dyDescent="0.35">
      <c r="B47" t="s">
        <v>47</v>
      </c>
      <c r="H47" s="114">
        <f t="shared" si="4"/>
        <v>44.174212226066167</v>
      </c>
      <c r="I47" s="79">
        <f t="shared" si="5"/>
        <v>1.7481532795890282E-2</v>
      </c>
    </row>
    <row r="48" spans="1:10" x14ac:dyDescent="0.35">
      <c r="B48" t="s">
        <v>48</v>
      </c>
      <c r="H48" s="114">
        <f t="shared" si="4"/>
        <v>44.380017273194561</v>
      </c>
      <c r="I48" s="79">
        <f t="shared" si="5"/>
        <v>2.2221919194581156E-2</v>
      </c>
    </row>
    <row r="49" spans="2:9" x14ac:dyDescent="0.35">
      <c r="B49" t="s">
        <v>50</v>
      </c>
      <c r="H49" s="114">
        <f t="shared" si="4"/>
        <v>48.285200643540819</v>
      </c>
      <c r="I49" s="79">
        <f t="shared" si="5"/>
        <v>0.11217150202300544</v>
      </c>
    </row>
    <row r="50" spans="2:9" x14ac:dyDescent="0.35">
      <c r="B50" t="s">
        <v>51</v>
      </c>
      <c r="H50" s="114">
        <f t="shared" si="4"/>
        <v>45.328441819208585</v>
      </c>
      <c r="I50" s="79">
        <f t="shared" si="5"/>
        <v>4.4067344663202626E-2</v>
      </c>
    </row>
    <row r="51" spans="2:9" x14ac:dyDescent="0.35">
      <c r="B51" t="s">
        <v>52</v>
      </c>
      <c r="H51" s="114">
        <f t="shared" si="4"/>
        <v>39.46837174225238</v>
      </c>
      <c r="I51" s="79">
        <f t="shared" si="5"/>
        <v>-9.0909891686343211E-2</v>
      </c>
    </row>
    <row r="52" spans="2:9" x14ac:dyDescent="0.35">
      <c r="B52" t="s">
        <v>54</v>
      </c>
      <c r="H52" s="114">
        <f t="shared" si="4"/>
        <v>39.840670247270459</v>
      </c>
      <c r="I52" s="79">
        <f t="shared" si="5"/>
        <v>-8.2334597765880521E-2</v>
      </c>
    </row>
    <row r="53" spans="2:9" x14ac:dyDescent="0.35">
      <c r="B53" t="s">
        <v>55</v>
      </c>
      <c r="H53" s="114">
        <f t="shared" si="4"/>
        <v>36.692315007552111</v>
      </c>
      <c r="I53" s="79">
        <f t="shared" si="5"/>
        <v>-0.15485186867273668</v>
      </c>
    </row>
    <row r="54" spans="2:9" x14ac:dyDescent="0.35">
      <c r="H54" s="114">
        <f t="shared" si="4"/>
        <v>43.415247159014179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0C1E-F8CC-4D24-9958-64DE29CF6E0A}">
  <sheetPr>
    <tabColor theme="5" tint="0.39997558519241921"/>
  </sheetPr>
  <dimension ref="A1:F61"/>
  <sheetViews>
    <sheetView workbookViewId="0">
      <selection sqref="A1:XFD1048576"/>
    </sheetView>
  </sheetViews>
  <sheetFormatPr defaultRowHeight="14.5" x14ac:dyDescent="0.35"/>
  <sheetData>
    <row r="1" spans="1:6" x14ac:dyDescent="0.35">
      <c r="A1" t="s">
        <v>225</v>
      </c>
    </row>
    <row r="2" spans="1:6" x14ac:dyDescent="0.35">
      <c r="A2" t="s">
        <v>224</v>
      </c>
    </row>
    <row r="3" spans="1:6" x14ac:dyDescent="0.35">
      <c r="A3" t="s">
        <v>223</v>
      </c>
      <c r="B3" t="s">
        <v>222</v>
      </c>
      <c r="C3" t="s">
        <v>221</v>
      </c>
      <c r="D3" t="s">
        <v>220</v>
      </c>
      <c r="E3" t="s">
        <v>219</v>
      </c>
      <c r="F3" t="s">
        <v>218</v>
      </c>
    </row>
    <row r="4" spans="1:6" x14ac:dyDescent="0.35">
      <c r="A4" t="s">
        <v>217</v>
      </c>
      <c r="B4" s="26">
        <v>60242615</v>
      </c>
      <c r="C4" s="26">
        <v>37898471</v>
      </c>
      <c r="D4">
        <v>0.629</v>
      </c>
      <c r="E4" s="26">
        <v>22344144</v>
      </c>
      <c r="F4">
        <v>0.371</v>
      </c>
    </row>
    <row r="5" spans="1:6" x14ac:dyDescent="0.35">
      <c r="A5" t="s">
        <v>216</v>
      </c>
      <c r="B5" s="26">
        <v>1046588</v>
      </c>
      <c r="C5" s="26">
        <v>605614</v>
      </c>
      <c r="D5">
        <v>0.57899999999999996</v>
      </c>
      <c r="E5" s="26">
        <v>440974</v>
      </c>
      <c r="F5">
        <v>0.42099999999999999</v>
      </c>
    </row>
    <row r="6" spans="1:6" x14ac:dyDescent="0.35">
      <c r="A6" t="s">
        <v>215</v>
      </c>
      <c r="B6" s="26">
        <v>100297</v>
      </c>
      <c r="C6" s="26">
        <v>98629</v>
      </c>
      <c r="D6">
        <v>0.98299999999999998</v>
      </c>
      <c r="E6" s="26">
        <v>1668</v>
      </c>
      <c r="F6">
        <v>1.7000000000000001E-2</v>
      </c>
    </row>
    <row r="7" spans="1:6" x14ac:dyDescent="0.35">
      <c r="A7" t="s">
        <v>214</v>
      </c>
      <c r="B7" s="26">
        <v>1325833</v>
      </c>
      <c r="C7" s="26">
        <v>789199</v>
      </c>
      <c r="D7">
        <v>0.59499999999999997</v>
      </c>
      <c r="E7" s="26">
        <v>536634</v>
      </c>
      <c r="F7">
        <v>0.40500000000000003</v>
      </c>
    </row>
    <row r="8" spans="1:6" x14ac:dyDescent="0.35">
      <c r="A8" t="s">
        <v>213</v>
      </c>
      <c r="B8" s="26">
        <v>637556</v>
      </c>
      <c r="C8" s="26">
        <v>468473</v>
      </c>
      <c r="D8">
        <v>0.73499999999999999</v>
      </c>
      <c r="E8" s="26">
        <v>169083</v>
      </c>
      <c r="F8">
        <v>0.26500000000000001</v>
      </c>
    </row>
    <row r="9" spans="1:6" x14ac:dyDescent="0.35">
      <c r="A9" t="s">
        <v>212</v>
      </c>
      <c r="B9" s="26">
        <v>6277166</v>
      </c>
      <c r="C9" s="26">
        <v>3528546</v>
      </c>
      <c r="D9">
        <v>0.56200000000000006</v>
      </c>
      <c r="E9" s="26">
        <v>2748620</v>
      </c>
      <c r="F9">
        <v>0.438</v>
      </c>
    </row>
    <row r="10" spans="1:6" x14ac:dyDescent="0.35">
      <c r="A10" t="s">
        <v>211</v>
      </c>
      <c r="B10" s="26">
        <v>911545</v>
      </c>
      <c r="C10" s="26">
        <v>530678</v>
      </c>
      <c r="D10">
        <v>0.58199999999999996</v>
      </c>
      <c r="E10" s="26">
        <v>380867</v>
      </c>
      <c r="F10">
        <v>0.41799999999999998</v>
      </c>
    </row>
    <row r="11" spans="1:6" x14ac:dyDescent="0.35">
      <c r="A11" t="s">
        <v>210</v>
      </c>
      <c r="B11" s="26">
        <v>680357</v>
      </c>
      <c r="C11" s="26">
        <v>398772</v>
      </c>
      <c r="D11">
        <v>0.58599999999999997</v>
      </c>
      <c r="E11" s="26">
        <v>281585</v>
      </c>
      <c r="F11">
        <v>0.41399999999999998</v>
      </c>
    </row>
    <row r="12" spans="1:6" x14ac:dyDescent="0.35">
      <c r="A12" t="s">
        <v>209</v>
      </c>
      <c r="B12" s="26">
        <v>208278</v>
      </c>
      <c r="C12" s="26">
        <v>174473</v>
      </c>
      <c r="D12">
        <v>0.83799999999999997</v>
      </c>
      <c r="E12" s="26">
        <v>33805</v>
      </c>
      <c r="F12">
        <v>0.16200000000000001</v>
      </c>
    </row>
    <row r="13" spans="1:6" x14ac:dyDescent="0.35">
      <c r="A13" t="s">
        <v>208</v>
      </c>
      <c r="B13" s="26">
        <v>94058</v>
      </c>
      <c r="C13" s="26">
        <v>75614</v>
      </c>
      <c r="D13">
        <v>0.80400000000000005</v>
      </c>
      <c r="E13" s="26">
        <v>18444</v>
      </c>
      <c r="F13">
        <v>0.19600000000000001</v>
      </c>
    </row>
    <row r="14" spans="1:6" x14ac:dyDescent="0.35">
      <c r="A14" t="s">
        <v>207</v>
      </c>
      <c r="B14" s="26">
        <v>4556611</v>
      </c>
      <c r="C14" s="26">
        <v>2455795</v>
      </c>
      <c r="D14">
        <v>0.53900000000000003</v>
      </c>
      <c r="E14" s="26">
        <v>2100816</v>
      </c>
      <c r="F14">
        <v>0.46100000000000002</v>
      </c>
    </row>
    <row r="15" spans="1:6" x14ac:dyDescent="0.35">
      <c r="A15" t="s">
        <v>206</v>
      </c>
      <c r="B15" s="26">
        <v>1727412</v>
      </c>
      <c r="C15" s="26">
        <v>1040090</v>
      </c>
      <c r="D15">
        <v>0.60199999999999998</v>
      </c>
      <c r="E15" s="26">
        <v>687322</v>
      </c>
      <c r="F15">
        <v>0.39800000000000002</v>
      </c>
    </row>
    <row r="16" spans="1:6" x14ac:dyDescent="0.35">
      <c r="A16" t="s">
        <v>205</v>
      </c>
      <c r="B16" s="26">
        <v>274091</v>
      </c>
      <c r="C16" s="26">
        <v>148146</v>
      </c>
      <c r="D16">
        <v>0.54100000000000004</v>
      </c>
      <c r="E16" s="26">
        <v>125945</v>
      </c>
      <c r="F16">
        <v>0.46</v>
      </c>
    </row>
    <row r="17" spans="1:6" x14ac:dyDescent="0.35">
      <c r="A17" t="s">
        <v>204</v>
      </c>
      <c r="B17" s="26">
        <v>334445</v>
      </c>
      <c r="C17" s="26">
        <v>220061</v>
      </c>
      <c r="D17">
        <v>0.65800000000000003</v>
      </c>
      <c r="E17" s="26">
        <v>114384</v>
      </c>
      <c r="F17">
        <v>0.34200000000000003</v>
      </c>
    </row>
    <row r="18" spans="1:6" x14ac:dyDescent="0.35">
      <c r="A18" t="s">
        <v>203</v>
      </c>
      <c r="B18" s="26">
        <v>2233242</v>
      </c>
      <c r="C18" s="26">
        <v>1623815</v>
      </c>
      <c r="D18">
        <v>0.72699999999999998</v>
      </c>
      <c r="E18" s="26">
        <v>609427</v>
      </c>
      <c r="F18">
        <v>0.27300000000000002</v>
      </c>
    </row>
    <row r="19" spans="1:6" x14ac:dyDescent="0.35">
      <c r="A19" t="s">
        <v>202</v>
      </c>
      <c r="B19" s="26">
        <v>1260564</v>
      </c>
      <c r="C19" s="26">
        <v>857098</v>
      </c>
      <c r="D19">
        <v>0.68</v>
      </c>
      <c r="E19" s="26">
        <v>403467</v>
      </c>
      <c r="F19">
        <v>0.32</v>
      </c>
    </row>
    <row r="20" spans="1:6" x14ac:dyDescent="0.35">
      <c r="A20" t="s">
        <v>201</v>
      </c>
      <c r="B20" s="26">
        <v>625217</v>
      </c>
      <c r="C20" s="26">
        <v>483559</v>
      </c>
      <c r="D20">
        <v>0.77300000000000002</v>
      </c>
      <c r="E20" s="26">
        <v>141658</v>
      </c>
      <c r="F20">
        <v>0.22700000000000001</v>
      </c>
    </row>
    <row r="21" spans="1:6" x14ac:dyDescent="0.35">
      <c r="A21" t="s">
        <v>200</v>
      </c>
      <c r="B21" s="26">
        <v>534927</v>
      </c>
      <c r="C21" s="26">
        <v>434951</v>
      </c>
      <c r="D21">
        <v>0.81299999999999994</v>
      </c>
      <c r="E21" s="26">
        <v>99975</v>
      </c>
      <c r="F21">
        <v>0.187</v>
      </c>
    </row>
    <row r="22" spans="1:6" x14ac:dyDescent="0.35">
      <c r="A22" t="s">
        <v>199</v>
      </c>
      <c r="B22" s="26">
        <v>928872</v>
      </c>
      <c r="C22" s="26">
        <v>612687</v>
      </c>
      <c r="D22">
        <v>0.66</v>
      </c>
      <c r="E22" s="26">
        <v>316185</v>
      </c>
      <c r="F22">
        <v>0.34</v>
      </c>
    </row>
    <row r="23" spans="1:6" x14ac:dyDescent="0.35">
      <c r="A23" t="s">
        <v>198</v>
      </c>
      <c r="B23" s="26">
        <v>869795</v>
      </c>
      <c r="C23" s="26">
        <v>534480</v>
      </c>
      <c r="D23">
        <v>0.61499999999999999</v>
      </c>
      <c r="E23" s="26">
        <v>335316</v>
      </c>
      <c r="F23">
        <v>0.38600000000000001</v>
      </c>
    </row>
    <row r="24" spans="1:6" x14ac:dyDescent="0.35">
      <c r="A24" t="s">
        <v>197</v>
      </c>
      <c r="B24" s="26">
        <v>339400</v>
      </c>
      <c r="C24" s="26">
        <v>217064</v>
      </c>
      <c r="D24">
        <v>0.64</v>
      </c>
      <c r="E24" s="26">
        <v>122336</v>
      </c>
      <c r="F24">
        <v>0.36</v>
      </c>
    </row>
    <row r="25" spans="1:6" x14ac:dyDescent="0.35">
      <c r="A25" t="s">
        <v>196</v>
      </c>
      <c r="B25" s="26">
        <v>1036953</v>
      </c>
      <c r="C25" s="26">
        <v>909418</v>
      </c>
      <c r="D25">
        <v>0.877</v>
      </c>
      <c r="E25" s="26">
        <v>127535</v>
      </c>
      <c r="F25">
        <v>0.123</v>
      </c>
    </row>
    <row r="26" spans="1:6" x14ac:dyDescent="0.35">
      <c r="A26" t="s">
        <v>195</v>
      </c>
      <c r="B26" s="26">
        <v>1331279</v>
      </c>
      <c r="C26" s="26">
        <v>997248</v>
      </c>
      <c r="D26">
        <v>0.749</v>
      </c>
      <c r="E26" s="26">
        <v>334031</v>
      </c>
      <c r="F26">
        <v>0.251</v>
      </c>
    </row>
    <row r="27" spans="1:6" x14ac:dyDescent="0.35">
      <c r="A27" t="s">
        <v>194</v>
      </c>
      <c r="B27" s="26">
        <v>2064900</v>
      </c>
      <c r="C27" s="26">
        <v>1198786</v>
      </c>
      <c r="D27">
        <v>0.58099999999999996</v>
      </c>
      <c r="E27" s="26">
        <v>866115</v>
      </c>
      <c r="F27">
        <v>0.41899999999999998</v>
      </c>
    </row>
    <row r="28" spans="1:6" x14ac:dyDescent="0.35">
      <c r="A28" t="s">
        <v>193</v>
      </c>
      <c r="B28" s="26">
        <v>1021819</v>
      </c>
      <c r="C28" s="26">
        <v>555372</v>
      </c>
      <c r="D28">
        <v>0.54400000000000004</v>
      </c>
      <c r="E28" s="26">
        <v>466447</v>
      </c>
      <c r="F28">
        <v>0.45700000000000002</v>
      </c>
    </row>
    <row r="29" spans="1:6" x14ac:dyDescent="0.35">
      <c r="A29" t="s">
        <v>192</v>
      </c>
      <c r="B29" s="26">
        <v>601628</v>
      </c>
      <c r="C29" s="26">
        <v>479366</v>
      </c>
      <c r="D29">
        <v>0.79700000000000004</v>
      </c>
      <c r="E29" s="26">
        <v>122262</v>
      </c>
      <c r="F29">
        <v>0.20300000000000001</v>
      </c>
    </row>
    <row r="30" spans="1:6" x14ac:dyDescent="0.35">
      <c r="A30" t="s">
        <v>191</v>
      </c>
      <c r="B30" s="26">
        <v>1227462</v>
      </c>
      <c r="C30" s="26">
        <v>771005</v>
      </c>
      <c r="D30">
        <v>0.628</v>
      </c>
      <c r="E30" s="26">
        <v>456457</v>
      </c>
      <c r="F30">
        <v>0.372</v>
      </c>
    </row>
    <row r="31" spans="1:6" x14ac:dyDescent="0.35">
      <c r="A31" t="s">
        <v>190</v>
      </c>
      <c r="B31" s="26">
        <v>230309</v>
      </c>
      <c r="C31" s="26">
        <v>185893</v>
      </c>
      <c r="D31">
        <v>0.80700000000000005</v>
      </c>
      <c r="E31" s="26">
        <v>44417</v>
      </c>
      <c r="F31">
        <v>0.193</v>
      </c>
    </row>
    <row r="32" spans="1:6" x14ac:dyDescent="0.35">
      <c r="A32" t="s">
        <v>189</v>
      </c>
      <c r="B32" s="26">
        <v>346150</v>
      </c>
      <c r="C32" s="26">
        <v>288127</v>
      </c>
      <c r="D32">
        <v>0.83199999999999996</v>
      </c>
      <c r="E32" s="26">
        <v>58022</v>
      </c>
      <c r="F32">
        <v>0.16800000000000001</v>
      </c>
    </row>
    <row r="33" spans="1:6" x14ac:dyDescent="0.35">
      <c r="A33" t="s">
        <v>188</v>
      </c>
      <c r="B33" s="26">
        <v>531564</v>
      </c>
      <c r="C33" s="26">
        <v>331585</v>
      </c>
      <c r="D33">
        <v>0.624</v>
      </c>
      <c r="E33" s="26">
        <v>199979</v>
      </c>
      <c r="F33">
        <v>0.376</v>
      </c>
    </row>
    <row r="34" spans="1:6" x14ac:dyDescent="0.35">
      <c r="A34" t="s">
        <v>187</v>
      </c>
      <c r="B34" s="26">
        <v>298735</v>
      </c>
      <c r="C34" s="26">
        <v>243068</v>
      </c>
      <c r="D34">
        <v>0.81399999999999995</v>
      </c>
      <c r="E34" s="26">
        <v>55666</v>
      </c>
      <c r="F34">
        <v>0.186</v>
      </c>
    </row>
    <row r="35" spans="1:6" x14ac:dyDescent="0.35">
      <c r="A35" t="s">
        <v>186</v>
      </c>
      <c r="B35" s="26">
        <v>1615169</v>
      </c>
      <c r="C35" s="26">
        <v>1133404</v>
      </c>
      <c r="D35">
        <v>0.70199999999999996</v>
      </c>
      <c r="E35" s="26">
        <v>481764</v>
      </c>
      <c r="F35">
        <v>0.29799999999999999</v>
      </c>
    </row>
    <row r="36" spans="1:6" x14ac:dyDescent="0.35">
      <c r="A36" t="s">
        <v>185</v>
      </c>
      <c r="B36" s="26">
        <v>421972</v>
      </c>
      <c r="C36" s="26">
        <v>267855</v>
      </c>
      <c r="D36">
        <v>0.63500000000000001</v>
      </c>
      <c r="E36" s="26">
        <v>154117</v>
      </c>
      <c r="F36">
        <v>0.36499999999999999</v>
      </c>
    </row>
    <row r="37" spans="1:6" x14ac:dyDescent="0.35">
      <c r="A37" t="s">
        <v>184</v>
      </c>
      <c r="B37" s="26">
        <v>3629623</v>
      </c>
      <c r="C37" s="26">
        <v>2118566</v>
      </c>
      <c r="D37">
        <v>0.58399999999999996</v>
      </c>
      <c r="E37" s="26">
        <v>1511057</v>
      </c>
      <c r="F37">
        <v>0.41599999999999998</v>
      </c>
    </row>
    <row r="38" spans="1:6" x14ac:dyDescent="0.35">
      <c r="A38" t="s">
        <v>183</v>
      </c>
      <c r="B38" s="26">
        <v>1985259</v>
      </c>
      <c r="C38" s="26">
        <v>1246728</v>
      </c>
      <c r="D38">
        <v>0.628</v>
      </c>
      <c r="E38" s="26">
        <v>738532</v>
      </c>
      <c r="F38">
        <v>0.372</v>
      </c>
    </row>
    <row r="39" spans="1:6" x14ac:dyDescent="0.35">
      <c r="A39" t="s">
        <v>182</v>
      </c>
      <c r="B39" s="26">
        <v>131045</v>
      </c>
      <c r="C39" s="26">
        <v>106842</v>
      </c>
      <c r="D39">
        <v>0.81499999999999995</v>
      </c>
      <c r="E39" s="26">
        <v>24203</v>
      </c>
      <c r="F39">
        <v>0.185</v>
      </c>
    </row>
    <row r="40" spans="1:6" x14ac:dyDescent="0.35">
      <c r="A40" t="s">
        <v>181</v>
      </c>
      <c r="B40" s="26">
        <v>2340027</v>
      </c>
      <c r="C40" s="26">
        <v>1323428</v>
      </c>
      <c r="D40">
        <v>0.56599999999999995</v>
      </c>
      <c r="E40" s="26">
        <v>1016599</v>
      </c>
      <c r="F40">
        <v>0.434</v>
      </c>
    </row>
    <row r="41" spans="1:6" x14ac:dyDescent="0.35">
      <c r="A41" t="s">
        <v>180</v>
      </c>
      <c r="B41" s="26">
        <v>738850</v>
      </c>
      <c r="C41" s="26">
        <v>577110</v>
      </c>
      <c r="D41">
        <v>0.78100000000000003</v>
      </c>
      <c r="E41" s="26">
        <v>161740</v>
      </c>
      <c r="F41">
        <v>0.219</v>
      </c>
    </row>
    <row r="42" spans="1:6" x14ac:dyDescent="0.35">
      <c r="A42" t="s">
        <v>179</v>
      </c>
      <c r="B42" s="26">
        <v>863650</v>
      </c>
      <c r="C42" s="26">
        <v>470225</v>
      </c>
      <c r="D42">
        <v>0.54500000000000004</v>
      </c>
      <c r="E42" s="26">
        <v>393425</v>
      </c>
      <c r="F42">
        <v>0.45600000000000002</v>
      </c>
    </row>
    <row r="43" spans="1:6" x14ac:dyDescent="0.35">
      <c r="A43" t="s">
        <v>178</v>
      </c>
      <c r="B43" s="26">
        <v>2732824</v>
      </c>
      <c r="C43" s="26">
        <v>1567873</v>
      </c>
      <c r="D43">
        <v>0.57399999999999995</v>
      </c>
      <c r="E43" s="26">
        <v>1164951</v>
      </c>
      <c r="F43">
        <v>0.42599999999999999</v>
      </c>
    </row>
    <row r="44" spans="1:6" x14ac:dyDescent="0.35">
      <c r="A44" t="s">
        <v>177</v>
      </c>
      <c r="B44" s="26">
        <v>220546</v>
      </c>
      <c r="C44" s="26">
        <v>120094</v>
      </c>
      <c r="D44">
        <v>0.54500000000000004</v>
      </c>
      <c r="E44" s="26">
        <v>100452</v>
      </c>
      <c r="F44">
        <v>0.45600000000000002</v>
      </c>
    </row>
    <row r="45" spans="1:6" x14ac:dyDescent="0.35">
      <c r="A45" t="s">
        <v>176</v>
      </c>
      <c r="B45" s="26">
        <v>1075124</v>
      </c>
      <c r="C45" s="26">
        <v>752453</v>
      </c>
      <c r="D45">
        <v>0.7</v>
      </c>
      <c r="E45" s="26">
        <v>322671</v>
      </c>
      <c r="F45">
        <v>0.3</v>
      </c>
    </row>
    <row r="46" spans="1:6" x14ac:dyDescent="0.35">
      <c r="A46" t="s">
        <v>175</v>
      </c>
      <c r="B46" s="26">
        <v>175579</v>
      </c>
      <c r="C46" s="26">
        <v>138162</v>
      </c>
      <c r="D46">
        <v>0.78700000000000003</v>
      </c>
      <c r="E46" s="26">
        <v>37418</v>
      </c>
      <c r="F46">
        <v>0.21299999999999999</v>
      </c>
    </row>
    <row r="47" spans="1:6" x14ac:dyDescent="0.35">
      <c r="A47" t="s">
        <v>174</v>
      </c>
      <c r="B47" s="26">
        <v>1356706</v>
      </c>
      <c r="C47" s="26">
        <v>812679</v>
      </c>
      <c r="D47">
        <v>0.59899999999999998</v>
      </c>
      <c r="E47" s="26">
        <v>544027</v>
      </c>
      <c r="F47">
        <v>0.40100000000000002</v>
      </c>
    </row>
    <row r="48" spans="1:6" x14ac:dyDescent="0.35">
      <c r="A48" t="s">
        <v>173</v>
      </c>
      <c r="B48" s="26">
        <v>4158858</v>
      </c>
      <c r="C48" s="26">
        <v>2493533</v>
      </c>
      <c r="D48">
        <v>0.6</v>
      </c>
      <c r="E48" s="26">
        <v>1665325</v>
      </c>
      <c r="F48">
        <v>0.4</v>
      </c>
    </row>
    <row r="49" spans="1:6" x14ac:dyDescent="0.35">
      <c r="A49" t="s">
        <v>172</v>
      </c>
      <c r="B49" s="26">
        <v>400958</v>
      </c>
      <c r="C49" s="26">
        <v>250920</v>
      </c>
      <c r="D49">
        <v>0.626</v>
      </c>
      <c r="E49" s="26">
        <v>150038</v>
      </c>
      <c r="F49">
        <v>0.374</v>
      </c>
    </row>
    <row r="50" spans="1:6" x14ac:dyDescent="0.35">
      <c r="A50" t="s">
        <v>171</v>
      </c>
      <c r="B50" s="26">
        <v>147222</v>
      </c>
      <c r="C50" s="26">
        <v>129424</v>
      </c>
      <c r="D50">
        <v>0.879</v>
      </c>
      <c r="E50" s="26">
        <v>17797</v>
      </c>
      <c r="F50">
        <v>0.121</v>
      </c>
    </row>
    <row r="51" spans="1:6" x14ac:dyDescent="0.35">
      <c r="A51" t="s">
        <v>170</v>
      </c>
      <c r="B51" s="26">
        <v>1509513</v>
      </c>
      <c r="C51" s="26">
        <v>1176619</v>
      </c>
      <c r="D51">
        <v>0.78</v>
      </c>
      <c r="E51" s="26">
        <v>332894</v>
      </c>
      <c r="F51">
        <v>0.221</v>
      </c>
    </row>
    <row r="52" spans="1:6" x14ac:dyDescent="0.35">
      <c r="A52" t="s">
        <v>169</v>
      </c>
      <c r="B52" s="26">
        <v>1362048</v>
      </c>
      <c r="C52" s="26">
        <v>898555</v>
      </c>
      <c r="D52">
        <v>0.66</v>
      </c>
      <c r="E52" s="26">
        <v>463493</v>
      </c>
      <c r="F52">
        <v>0.34</v>
      </c>
    </row>
    <row r="53" spans="1:6" x14ac:dyDescent="0.35">
      <c r="A53" t="s">
        <v>168</v>
      </c>
      <c r="B53" s="26">
        <v>438643</v>
      </c>
      <c r="C53" s="26">
        <v>289839</v>
      </c>
      <c r="D53">
        <v>0.66100000000000003</v>
      </c>
      <c r="E53" s="26">
        <v>148804</v>
      </c>
      <c r="F53">
        <v>0.33900000000000002</v>
      </c>
    </row>
    <row r="54" spans="1:6" x14ac:dyDescent="0.35">
      <c r="A54" t="s">
        <v>167</v>
      </c>
      <c r="B54" s="26">
        <v>1171957</v>
      </c>
      <c r="C54" s="26">
        <v>661504</v>
      </c>
      <c r="D54">
        <v>0.56399999999999995</v>
      </c>
      <c r="E54" s="26">
        <v>510453</v>
      </c>
      <c r="F54">
        <v>0.436</v>
      </c>
    </row>
    <row r="55" spans="1:6" x14ac:dyDescent="0.35">
      <c r="A55" t="s">
        <v>166</v>
      </c>
      <c r="B55" s="26">
        <v>109989</v>
      </c>
      <c r="C55" s="26">
        <v>105045</v>
      </c>
      <c r="D55">
        <v>0.95499999999999996</v>
      </c>
      <c r="E55" s="26">
        <v>4944</v>
      </c>
      <c r="F55">
        <v>4.4999999999999998E-2</v>
      </c>
    </row>
    <row r="57" spans="1:6" x14ac:dyDescent="0.35">
      <c r="A57" t="s">
        <v>165</v>
      </c>
    </row>
    <row r="58" spans="1:6" x14ac:dyDescent="0.35">
      <c r="A58" t="s">
        <v>164</v>
      </c>
    </row>
    <row r="60" spans="1:6" x14ac:dyDescent="0.35">
      <c r="A60" t="s">
        <v>163</v>
      </c>
    </row>
    <row r="61" spans="1:6" x14ac:dyDescent="0.35">
      <c r="A61" t="s">
        <v>162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5AFB-6434-42F6-9E55-F9DBC450F9F1}">
  <sheetPr>
    <tabColor theme="5" tint="0.39997558519241921"/>
  </sheetPr>
  <dimension ref="A1:M18"/>
  <sheetViews>
    <sheetView topLeftCell="A6" workbookViewId="0">
      <selection sqref="A1:XFD1048576"/>
    </sheetView>
  </sheetViews>
  <sheetFormatPr defaultRowHeight="14.5" x14ac:dyDescent="0.35"/>
  <cols>
    <col min="1" max="1" width="22.1796875" customWidth="1"/>
    <col min="2" max="7" width="14.36328125" customWidth="1"/>
    <col min="8" max="8" width="15.453125" customWidth="1"/>
    <col min="9" max="11" width="14.36328125" customWidth="1"/>
    <col min="12" max="12" width="12.08984375" customWidth="1"/>
    <col min="13" max="13" width="13.36328125" customWidth="1"/>
  </cols>
  <sheetData>
    <row r="1" spans="1:13" ht="29" x14ac:dyDescent="0.35">
      <c r="A1" s="22" t="s">
        <v>13</v>
      </c>
      <c r="B1" s="22">
        <v>2015</v>
      </c>
      <c r="C1" s="22">
        <v>2016</v>
      </c>
      <c r="D1" s="22">
        <v>2017</v>
      </c>
      <c r="E1" s="22">
        <v>2018</v>
      </c>
      <c r="F1" s="22">
        <v>2019</v>
      </c>
      <c r="G1" s="22">
        <v>2020</v>
      </c>
      <c r="H1" s="56" t="s">
        <v>277</v>
      </c>
      <c r="I1">
        <v>2030</v>
      </c>
    </row>
    <row r="2" spans="1:13" x14ac:dyDescent="0.35">
      <c r="A2" s="22" t="s">
        <v>14</v>
      </c>
      <c r="B2" s="23">
        <v>37386681</v>
      </c>
      <c r="C2" s="23">
        <v>37957803</v>
      </c>
      <c r="D2" s="23">
        <v>38001790</v>
      </c>
      <c r="E2" s="23">
        <v>37994241</v>
      </c>
      <c r="F2" s="23">
        <v>37898471</v>
      </c>
      <c r="G2" s="23">
        <v>37094414</v>
      </c>
      <c r="H2" s="113">
        <f>(G2/B2)-1</f>
        <v>-7.8174096277762173E-3</v>
      </c>
    </row>
    <row r="3" spans="1:13" x14ac:dyDescent="0.35">
      <c r="A3" s="22" t="s">
        <v>15</v>
      </c>
      <c r="B3" s="23">
        <v>16909972</v>
      </c>
      <c r="C3" s="23">
        <v>17800329</v>
      </c>
      <c r="D3" s="23">
        <v>19221975</v>
      </c>
      <c r="E3" s="23">
        <v>20747602</v>
      </c>
      <c r="F3" s="23">
        <v>22344144</v>
      </c>
      <c r="G3" s="23">
        <v>24457533</v>
      </c>
      <c r="H3" s="113">
        <f>(G3/B3)-1</f>
        <v>0.44633787684568604</v>
      </c>
    </row>
    <row r="4" spans="1:13" x14ac:dyDescent="0.35">
      <c r="A4" t="s">
        <v>16</v>
      </c>
    </row>
    <row r="6" spans="1:13" x14ac:dyDescent="0.35">
      <c r="A6" t="s">
        <v>17</v>
      </c>
      <c r="B6" s="22">
        <v>2015</v>
      </c>
      <c r="C6" s="22">
        <v>2016</v>
      </c>
      <c r="D6" s="22">
        <v>2017</v>
      </c>
      <c r="E6" s="22">
        <v>2018</v>
      </c>
      <c r="F6" s="22">
        <v>2019</v>
      </c>
      <c r="G6" s="22">
        <v>2020</v>
      </c>
      <c r="H6" s="22">
        <v>2021</v>
      </c>
      <c r="I6" s="22">
        <v>2025</v>
      </c>
      <c r="J6" s="22"/>
      <c r="K6" s="22">
        <v>2030</v>
      </c>
    </row>
    <row r="7" spans="1:13" x14ac:dyDescent="0.35">
      <c r="A7" t="s">
        <v>19</v>
      </c>
      <c r="B7">
        <f>($C7-$G7)/($G6-$C6)+C7</f>
        <v>84.524999999999991</v>
      </c>
      <c r="C7">
        <v>84.3</v>
      </c>
      <c r="D7">
        <f>($C7-$G7)/($G6-$C6)+E7</f>
        <v>84.074999999999989</v>
      </c>
      <c r="E7">
        <f>($C7-$G7)/($G6-$C6)+F7</f>
        <v>83.85</v>
      </c>
      <c r="F7">
        <f>($C7-$G7)/($G6-$C6)+G7</f>
        <v>83.625</v>
      </c>
      <c r="G7">
        <v>83.4</v>
      </c>
      <c r="I7">
        <f>(G7+K7)/2</f>
        <v>82.35</v>
      </c>
      <c r="K7">
        <v>81.3</v>
      </c>
    </row>
    <row r="8" spans="1:13" x14ac:dyDescent="0.35">
      <c r="A8" t="s">
        <v>20</v>
      </c>
      <c r="B8">
        <f>B7/$F7</f>
        <v>1.010762331838565</v>
      </c>
      <c r="C8">
        <f t="shared" ref="C8:K8" si="0">C7/$F7</f>
        <v>1.0080717488789237</v>
      </c>
      <c r="D8">
        <f t="shared" si="0"/>
        <v>1.0053811659192824</v>
      </c>
      <c r="E8">
        <f t="shared" si="0"/>
        <v>1.0026905829596411</v>
      </c>
      <c r="F8">
        <f t="shared" si="0"/>
        <v>1</v>
      </c>
      <c r="G8">
        <f t="shared" si="0"/>
        <v>0.9973094170403588</v>
      </c>
      <c r="I8">
        <f t="shared" si="0"/>
        <v>0.98475336322869944</v>
      </c>
      <c r="K8">
        <f t="shared" si="0"/>
        <v>0.9721973094170403</v>
      </c>
    </row>
    <row r="9" spans="1:13" x14ac:dyDescent="0.35">
      <c r="A9" t="s">
        <v>18</v>
      </c>
    </row>
    <row r="12" spans="1:13" x14ac:dyDescent="0.35">
      <c r="B12" t="s">
        <v>278</v>
      </c>
      <c r="C12" t="s">
        <v>281</v>
      </c>
    </row>
    <row r="13" spans="1:13" x14ac:dyDescent="0.35">
      <c r="A13" t="s">
        <v>279</v>
      </c>
      <c r="B13">
        <f>F2/B2-1</f>
        <v>1.3689099602074872E-2</v>
      </c>
      <c r="C13">
        <f>'Base Output Fx'!H15/'Base Output Fx'!D15-1</f>
        <v>4.5811740623691311E-2</v>
      </c>
    </row>
    <row r="14" spans="1:13" x14ac:dyDescent="0.35">
      <c r="A14" t="s">
        <v>280</v>
      </c>
      <c r="B14">
        <f>F3/B3-1</f>
        <v>0.32135901821717971</v>
      </c>
    </row>
    <row r="15" spans="1:13" x14ac:dyDescent="0.35">
      <c r="A15" t="s">
        <v>56</v>
      </c>
      <c r="B15">
        <f>F16/B16-1</f>
        <v>0.10950881263344159</v>
      </c>
      <c r="G15">
        <v>2020</v>
      </c>
      <c r="H15">
        <v>2021</v>
      </c>
      <c r="I15">
        <v>2022</v>
      </c>
      <c r="J15">
        <v>2023</v>
      </c>
      <c r="K15">
        <v>2024</v>
      </c>
      <c r="L15">
        <v>2025</v>
      </c>
      <c r="M15">
        <v>2030</v>
      </c>
    </row>
    <row r="16" spans="1:13" x14ac:dyDescent="0.35">
      <c r="A16" t="s">
        <v>56</v>
      </c>
      <c r="B16" s="26">
        <f>B2+B3</f>
        <v>54296653</v>
      </c>
      <c r="C16" s="26">
        <f t="shared" ref="C16:F16" si="1">C2+C3</f>
        <v>55758132</v>
      </c>
      <c r="D16" s="26">
        <f t="shared" si="1"/>
        <v>57223765</v>
      </c>
      <c r="E16" s="26">
        <f t="shared" si="1"/>
        <v>58741843</v>
      </c>
      <c r="F16" s="26">
        <f t="shared" si="1"/>
        <v>60242615</v>
      </c>
      <c r="G16" s="26">
        <f>((F16/B16)^(1/4))*F16</f>
        <v>61828185.948948592</v>
      </c>
      <c r="H16" s="26">
        <f t="shared" ref="H16:K16" si="2">((G16/C16)^(1/4))*G16</f>
        <v>63446267.302084215</v>
      </c>
      <c r="I16" s="26">
        <f t="shared" si="2"/>
        <v>65104871.881067865</v>
      </c>
      <c r="J16" s="26">
        <f t="shared" si="2"/>
        <v>66800539.303356044</v>
      </c>
      <c r="K16" s="26">
        <f t="shared" si="2"/>
        <v>68548665.914996132</v>
      </c>
      <c r="L16" s="26">
        <f>($G16/$B16)*G16</f>
        <v>70404423.965833843</v>
      </c>
      <c r="M16" s="26">
        <f>($G16/$B16)*L16</f>
        <v>80170278.941285536</v>
      </c>
    </row>
    <row r="17" spans="1:13" x14ac:dyDescent="0.35">
      <c r="A17" t="s">
        <v>282</v>
      </c>
      <c r="B17">
        <f>'Base Output Fx'!D15/'Public source data'!B2</f>
        <v>0.48166796325140493</v>
      </c>
      <c r="C17">
        <f>'Base Output Fx'!E15/'Public source data'!C2</f>
        <v>0.48465595308558829</v>
      </c>
      <c r="D17">
        <f>'Base Output Fx'!F15/'Public source data'!D2</f>
        <v>0.48273054295600282</v>
      </c>
      <c r="E17">
        <f>'Base Output Fx'!G15/'Public source data'!E2</f>
        <v>0.4862332091329315</v>
      </c>
      <c r="F17">
        <f>'Base Output Fx'!H15/'Public source data'!F2</f>
        <v>0.49693146670745636</v>
      </c>
      <c r="G17">
        <f>((F17/B17)^(1/4))*F17</f>
        <v>0.50082232745229516</v>
      </c>
      <c r="L17">
        <f>($G17/$B17)*G17</f>
        <v>0.52073839825593249</v>
      </c>
      <c r="M17">
        <f>($G17/$B17)*L17</f>
        <v>0.54144646625001713</v>
      </c>
    </row>
    <row r="18" spans="1:13" x14ac:dyDescent="0.35">
      <c r="B18" s="26">
        <f>B16*B17</f>
        <v>26152958.261878286</v>
      </c>
      <c r="C18" s="26">
        <f t="shared" ref="C18:G18" si="3">C16*C17</f>
        <v>27023510.606732041</v>
      </c>
      <c r="D18" s="26">
        <f t="shared" si="3"/>
        <v>27623659.14843671</v>
      </c>
      <c r="E18" s="26">
        <f t="shared" si="3"/>
        <v>28562234.832272828</v>
      </c>
      <c r="F18" s="26">
        <f t="shared" si="3"/>
        <v>29936451.030242611</v>
      </c>
      <c r="G18" s="26">
        <f t="shared" si="3"/>
        <v>30964935.989105728</v>
      </c>
      <c r="H18" s="26"/>
      <c r="I18" s="26"/>
      <c r="L18" s="26">
        <f>L16*L17</f>
        <v>36662286.966099903</v>
      </c>
      <c r="M18" s="26">
        <f>M16*M17</f>
        <v>43407914.231037214</v>
      </c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94F1-DD09-4CC6-BE97-996DA41F5AAC}">
  <sheetPr>
    <tabColor theme="9" tint="0.79998168889431442"/>
  </sheetPr>
  <dimension ref="A1"/>
  <sheetViews>
    <sheetView showFormulas="1"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3D0D-1EE8-44D2-8C7C-8CF7661C604E}">
  <sheetPr>
    <tabColor theme="9" tint="0.79998168889431442"/>
  </sheetPr>
  <dimension ref="B1:AK52"/>
  <sheetViews>
    <sheetView showGridLines="0" topLeftCell="P11" zoomScale="90" zoomScaleNormal="90" workbookViewId="0">
      <selection sqref="A1:XFD1048576"/>
    </sheetView>
  </sheetViews>
  <sheetFormatPr defaultRowHeight="14.5" x14ac:dyDescent="0.35"/>
  <cols>
    <col min="1" max="2" width="1.54296875" customWidth="1"/>
    <col min="3" max="3" width="17.36328125" bestFit="1" customWidth="1"/>
    <col min="4" max="4" width="33.453125" bestFit="1" customWidth="1"/>
    <col min="5" max="5" width="30.7265625" bestFit="1" customWidth="1"/>
    <col min="6" max="7" width="30.81640625" bestFit="1" customWidth="1"/>
    <col min="8" max="8" width="30.6328125" bestFit="1" customWidth="1"/>
    <col min="9" max="9" width="4.81640625" bestFit="1" customWidth="1"/>
    <col min="10" max="10" width="8.7265625" bestFit="1" customWidth="1"/>
    <col min="11" max="11" width="12.36328125" customWidth="1"/>
    <col min="12" max="12" width="4.81640625" bestFit="1" customWidth="1"/>
    <col min="13" max="13" width="12.6328125" bestFit="1" customWidth="1"/>
    <col min="14" max="15" width="1.6328125" customWidth="1"/>
    <col min="16" max="16" width="12.54296875" bestFit="1" customWidth="1"/>
    <col min="17" max="17" width="15.08984375" bestFit="1" customWidth="1"/>
    <col min="18" max="19" width="15" bestFit="1" customWidth="1"/>
    <col min="20" max="20" width="15.08984375" bestFit="1" customWidth="1"/>
    <col min="21" max="21" width="15" bestFit="1" customWidth="1"/>
    <col min="22" max="22" width="14.7265625" bestFit="1" customWidth="1"/>
    <col min="23" max="23" width="15.90625" bestFit="1" customWidth="1"/>
    <col min="24" max="25" width="15.1796875" bestFit="1" customWidth="1"/>
    <col min="26" max="26" width="15.36328125" bestFit="1" customWidth="1"/>
    <col min="27" max="27" width="14.7265625" bestFit="1" customWidth="1"/>
    <col min="28" max="28" width="16.453125" bestFit="1" customWidth="1"/>
    <col min="29" max="29" width="16.1796875" bestFit="1" customWidth="1"/>
    <col min="30" max="30" width="16.26953125" bestFit="1" customWidth="1"/>
    <col min="31" max="31" width="16" bestFit="1" customWidth="1"/>
    <col min="32" max="32" width="15.453125" bestFit="1" customWidth="1"/>
    <col min="33" max="33" width="5.6328125" bestFit="1" customWidth="1"/>
    <col min="35" max="35" width="8.36328125" bestFit="1" customWidth="1"/>
    <col min="36" max="36" width="4.26953125" bestFit="1" customWidth="1"/>
  </cols>
  <sheetData>
    <row r="1" spans="2:37" ht="8.5" customHeight="1" x14ac:dyDescent="0.35"/>
    <row r="2" spans="2:37" ht="10.5" customHeight="1" x14ac:dyDescent="0.3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2:37" ht="26" x14ac:dyDescent="0.35">
      <c r="B3" s="6"/>
      <c r="C3" s="167" t="s">
        <v>41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6"/>
      <c r="O3" s="80"/>
      <c r="P3" s="35"/>
      <c r="Q3" s="35"/>
      <c r="R3" s="35"/>
      <c r="S3" s="35"/>
      <c r="T3" s="35"/>
      <c r="U3" s="35"/>
      <c r="V3" s="35"/>
      <c r="W3" s="85"/>
      <c r="X3" s="85"/>
      <c r="Y3" s="85"/>
      <c r="Z3" s="8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2:37" ht="16" customHeight="1" x14ac:dyDescent="0.6">
      <c r="B4" s="6"/>
      <c r="C4" s="5"/>
      <c r="D4" s="169" t="s">
        <v>9</v>
      </c>
      <c r="E4" s="170"/>
      <c r="F4" s="171"/>
      <c r="G4" s="171"/>
      <c r="H4" s="171"/>
      <c r="I4" s="171"/>
      <c r="J4" s="5"/>
      <c r="K4" s="169" t="s">
        <v>7</v>
      </c>
      <c r="L4" s="169"/>
      <c r="M4" s="170"/>
      <c r="N4" s="6"/>
      <c r="O4" s="80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90">
        <f>AA12-V12</f>
        <v>191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2:37" x14ac:dyDescent="0.35">
      <c r="B5" s="6"/>
      <c r="C5" s="2"/>
      <c r="D5" s="3">
        <v>2015</v>
      </c>
      <c r="E5" s="3">
        <v>2016</v>
      </c>
      <c r="F5" s="3">
        <v>2017</v>
      </c>
      <c r="G5" s="3">
        <v>2018</v>
      </c>
      <c r="H5" s="3">
        <v>2019</v>
      </c>
      <c r="I5" s="3">
        <v>2020</v>
      </c>
      <c r="J5" s="3"/>
      <c r="K5" s="3">
        <v>2025</v>
      </c>
      <c r="L5" s="3"/>
      <c r="M5" s="3">
        <v>2030</v>
      </c>
      <c r="N5" s="6"/>
      <c r="O5" s="80"/>
      <c r="P5" s="35"/>
      <c r="Q5" s="115">
        <v>2015</v>
      </c>
      <c r="R5" s="115">
        <v>2016</v>
      </c>
      <c r="S5" s="115">
        <v>2017</v>
      </c>
      <c r="T5" s="115">
        <v>2018</v>
      </c>
      <c r="U5" s="115">
        <v>2019</v>
      </c>
      <c r="V5" s="115">
        <v>2020</v>
      </c>
      <c r="W5" s="115">
        <v>2021</v>
      </c>
      <c r="X5" s="115">
        <v>2022</v>
      </c>
      <c r="Y5" s="115">
        <v>2023</v>
      </c>
      <c r="Z5" s="115">
        <v>2024</v>
      </c>
      <c r="AA5" s="115">
        <v>2025</v>
      </c>
      <c r="AB5" s="115">
        <v>2026</v>
      </c>
      <c r="AC5" s="115">
        <v>2027</v>
      </c>
      <c r="AD5" s="115">
        <v>2028</v>
      </c>
      <c r="AE5" s="115">
        <v>2029</v>
      </c>
      <c r="AF5" s="115">
        <v>2030</v>
      </c>
      <c r="AG5" s="35"/>
      <c r="AH5" s="35"/>
      <c r="AI5" s="35"/>
      <c r="AJ5" s="35"/>
      <c r="AK5" s="35"/>
    </row>
    <row r="6" spans="2:37" ht="18" customHeight="1" x14ac:dyDescent="0.35">
      <c r="B6" s="6"/>
      <c r="C6" s="7" t="s">
        <v>0</v>
      </c>
      <c r="D6" s="19">
        <v>4424</v>
      </c>
      <c r="E6" s="19">
        <f>D6-D8+E7</f>
        <v>4503</v>
      </c>
      <c r="F6" s="19">
        <f>E6-E8+F7</f>
        <v>4608</v>
      </c>
      <c r="G6" s="19">
        <f>F6-F8+G7</f>
        <v>4649</v>
      </c>
      <c r="H6" s="19">
        <f>G6-G8+H7</f>
        <v>4691</v>
      </c>
      <c r="I6" s="19">
        <f>H6-H8+I7</f>
        <v>4718</v>
      </c>
      <c r="J6" s="94">
        <f>I6-D6</f>
        <v>294</v>
      </c>
      <c r="K6" s="19">
        <f>I6-K8+K7</f>
        <v>4909</v>
      </c>
      <c r="L6" s="9"/>
      <c r="M6" s="19">
        <f>K6-M8+M7</f>
        <v>5057</v>
      </c>
      <c r="N6" s="6"/>
      <c r="O6" s="80"/>
      <c r="P6" s="35" t="s">
        <v>67</v>
      </c>
      <c r="Q6" s="119">
        <f>D6*('RVU scenarios (L)'!B2/$H22)</f>
        <v>4330.9182679183859</v>
      </c>
      <c r="R6" s="119">
        <f>E6*('RVU scenarios (L)'!C2/$H22)</f>
        <v>4413.406563688789</v>
      </c>
      <c r="S6" s="119">
        <f>F6*('RVU scenarios (L)'!D2/$H22)</f>
        <v>4468.854542459193</v>
      </c>
      <c r="T6" s="119">
        <f>G6*('RVU scenarios (L)'!E2/$H22)</f>
        <v>4558.1452692295961</v>
      </c>
      <c r="U6" s="119">
        <f>H6*('RVU scenarios (L)'!F2/$H22)</f>
        <v>4691</v>
      </c>
      <c r="V6" s="119">
        <f>I6*('RVU scenarios (L)'!G2/$H22)</f>
        <v>4743.1484700064048</v>
      </c>
      <c r="W6" s="119">
        <f>W12*('RVU scenarios (L)'!H2/$H22)</f>
        <v>4806.4288838799557</v>
      </c>
      <c r="X6" s="119">
        <f>X12*('RVU scenarios (L)'!I2/$H22)</f>
        <v>4870.5535493735706</v>
      </c>
      <c r="Y6" s="119">
        <f>Y12*('RVU scenarios (L)'!J2/$H22)</f>
        <v>4935.5337300165857</v>
      </c>
      <c r="Z6" s="119">
        <f>Z12*('RVU scenarios (L)'!K2/$H22)</f>
        <v>5001.3808396099939</v>
      </c>
      <c r="AA6" s="119">
        <f>K6*('RVU scenarios (L)'!L2/$H22)</f>
        <v>5068.1064442313</v>
      </c>
      <c r="AB6" s="117">
        <f>AB12*('RVU scenarios (L)'!M2/$H22)</f>
        <v>5125.4794262754976</v>
      </c>
      <c r="AC6" s="119">
        <f>AC12*('RVU scenarios (L)'!N2/$H22)</f>
        <v>5183.5018933107613</v>
      </c>
      <c r="AD6" s="119">
        <f>AD12*('RVU scenarios (L)'!O2/$H22)</f>
        <v>5242.1811977656816</v>
      </c>
      <c r="AE6" s="119">
        <f>AE12*('RVU scenarios (L)'!P2/$H22)</f>
        <v>5301.5247753012682</v>
      </c>
      <c r="AF6" s="119">
        <f>M6*('RVU scenarios (L)'!Q2/$H22)</f>
        <v>5361.5401457531771</v>
      </c>
      <c r="AG6" s="35"/>
      <c r="AH6" s="35"/>
      <c r="AI6" s="85">
        <v>5911.9492192847019</v>
      </c>
      <c r="AJ6" s="35"/>
      <c r="AK6" s="35"/>
    </row>
    <row r="7" spans="2:37" ht="18" customHeight="1" x14ac:dyDescent="0.35">
      <c r="B7" s="6"/>
      <c r="C7" s="7" t="s">
        <v>1</v>
      </c>
      <c r="D7" s="8">
        <v>251</v>
      </c>
      <c r="E7" s="8">
        <v>226</v>
      </c>
      <c r="F7" s="8">
        <v>214</v>
      </c>
      <c r="G7" s="8">
        <v>191</v>
      </c>
      <c r="H7" s="8">
        <v>196</v>
      </c>
      <c r="I7" s="8">
        <v>223</v>
      </c>
      <c r="J7" s="9" t="s">
        <v>38</v>
      </c>
      <c r="K7" s="8">
        <f>187+203+194+209+190</f>
        <v>983</v>
      </c>
      <c r="L7" s="9" t="s">
        <v>39</v>
      </c>
      <c r="M7" s="8">
        <f>193+185+(189*3)</f>
        <v>945</v>
      </c>
      <c r="N7" s="6"/>
      <c r="O7" s="80"/>
      <c r="P7" s="35" t="s">
        <v>40</v>
      </c>
      <c r="Q7" s="119">
        <f>D18/$H22</f>
        <v>4330.9182679183859</v>
      </c>
      <c r="R7" s="119">
        <f>E18/$H22</f>
        <v>4413.406563688789</v>
      </c>
      <c r="S7" s="119">
        <f>F18/$H22</f>
        <v>4468.854542459193</v>
      </c>
      <c r="T7" s="119">
        <f>G18/$H22</f>
        <v>4558.1452692295961</v>
      </c>
      <c r="U7" s="119">
        <f>H18/$H22</f>
        <v>4691</v>
      </c>
      <c r="V7" s="119">
        <f t="shared" ref="V7:AF7" si="0">V8+V9+V11</f>
        <v>4771.2189283917332</v>
      </c>
      <c r="W7" s="119">
        <f t="shared" si="0"/>
        <v>4810.4364287269018</v>
      </c>
      <c r="X7" s="119">
        <f t="shared" si="0"/>
        <v>4856.666273790468</v>
      </c>
      <c r="Y7" s="119">
        <f t="shared" si="0"/>
        <v>4910.4196794854588</v>
      </c>
      <c r="Z7" s="119">
        <f t="shared" si="0"/>
        <v>4972.246488531352</v>
      </c>
      <c r="AA7" s="119">
        <f t="shared" si="0"/>
        <v>5042.7380819935242</v>
      </c>
      <c r="AB7" s="117">
        <f t="shared" si="0"/>
        <v>5129.0475565302595</v>
      </c>
      <c r="AC7" s="116">
        <f t="shared" si="0"/>
        <v>5225.9798659076814</v>
      </c>
      <c r="AD7" s="116">
        <f t="shared" si="0"/>
        <v>5334.3353349273002</v>
      </c>
      <c r="AE7" s="116">
        <f t="shared" si="0"/>
        <v>5454.9763988854793</v>
      </c>
      <c r="AF7" s="116">
        <f t="shared" si="0"/>
        <v>5588.8324175487824</v>
      </c>
      <c r="AG7" s="35"/>
      <c r="AH7" s="35"/>
      <c r="AI7" s="89">
        <v>6266.638331698995</v>
      </c>
      <c r="AJ7" s="89">
        <f>AI7-AF7</f>
        <v>677.80591415021263</v>
      </c>
      <c r="AK7" s="35"/>
    </row>
    <row r="8" spans="2:37" ht="18" customHeight="1" x14ac:dyDescent="0.35">
      <c r="B8" s="6"/>
      <c r="C8" s="7" t="s">
        <v>2</v>
      </c>
      <c r="D8" s="8">
        <v>147</v>
      </c>
      <c r="E8" s="8">
        <v>109</v>
      </c>
      <c r="F8" s="8">
        <v>150</v>
      </c>
      <c r="G8" s="8">
        <v>154</v>
      </c>
      <c r="H8" s="8">
        <v>196</v>
      </c>
      <c r="I8" s="8" t="s">
        <v>3</v>
      </c>
      <c r="J8" s="9" t="s">
        <v>21</v>
      </c>
      <c r="K8" s="8">
        <f>'RO Exit Scenarios (L)'!J7</f>
        <v>792</v>
      </c>
      <c r="L8" s="9" t="s">
        <v>22</v>
      </c>
      <c r="M8" s="8">
        <f>'RO Exit Scenarios (L)'!L7</f>
        <v>797</v>
      </c>
      <c r="N8" s="6"/>
      <c r="O8" s="80"/>
      <c r="P8" s="35" t="s">
        <v>25</v>
      </c>
      <c r="Q8" s="119">
        <f t="shared" ref="Q8:U9" si="1">(D15)/$H$22</f>
        <v>1800.7966489999999</v>
      </c>
      <c r="R8" s="119">
        <f t="shared" si="1"/>
        <v>1839.6475190000001</v>
      </c>
      <c r="S8" s="119">
        <f t="shared" si="1"/>
        <v>1834.4624719999999</v>
      </c>
      <c r="T8" s="119">
        <f t="shared" si="1"/>
        <v>1847.4061730000001</v>
      </c>
      <c r="U8" s="119">
        <f t="shared" si="1"/>
        <v>1883.2942780000001</v>
      </c>
      <c r="V8" s="119">
        <f>'Demand Scenarios (L)'!G2</f>
        <v>1895.4513330900293</v>
      </c>
      <c r="W8" s="119">
        <f>'Demand Scenarios (L)'!H2</f>
        <v>1889.0188950938389</v>
      </c>
      <c r="X8" s="119">
        <f>'Demand Scenarios (L)'!I2</f>
        <v>1883.136001913279</v>
      </c>
      <c r="Y8" s="119">
        <f>'Demand Scenarios (L)'!J2</f>
        <v>1877.8560068078648</v>
      </c>
      <c r="Z8" s="119">
        <f>'Demand Scenarios (L)'!K2</f>
        <v>1873.2313072894019</v>
      </c>
      <c r="AA8" s="119">
        <f>'Demand Scenarios (L)'!L2</f>
        <v>1869.3127923078275</v>
      </c>
      <c r="AB8" s="117">
        <f>'Demand Scenarios (L)'!M2</f>
        <v>1869.9721538732144</v>
      </c>
      <c r="AC8" s="117">
        <f>'Demand Scenarios (L)'!N2</f>
        <v>1871.47381030356</v>
      </c>
      <c r="AD8" s="117">
        <f>'Demand Scenarios (L)'!O2</f>
        <v>1873.8654468052346</v>
      </c>
      <c r="AE8" s="117">
        <f>'Demand Scenarios (L)'!P2</f>
        <v>1877.1908408264351</v>
      </c>
      <c r="AF8" s="117">
        <f>'Demand Scenarios (L)'!Q2</f>
        <v>1881.4893037770814</v>
      </c>
      <c r="AG8" s="35"/>
      <c r="AH8" s="35"/>
      <c r="AI8" s="89">
        <v>2179.5062109483997</v>
      </c>
      <c r="AJ8" s="35"/>
      <c r="AK8" s="35"/>
    </row>
    <row r="9" spans="2:37" ht="12.5" customHeight="1" x14ac:dyDescent="0.35">
      <c r="B9" s="6"/>
      <c r="C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6"/>
      <c r="O9" s="80"/>
      <c r="P9" s="35" t="s">
        <v>26</v>
      </c>
      <c r="Q9" s="119">
        <f t="shared" si="1"/>
        <v>814.49919999999997</v>
      </c>
      <c r="R9" s="119">
        <f t="shared" si="1"/>
        <v>862.70349999999996</v>
      </c>
      <c r="S9" s="119">
        <f t="shared" si="1"/>
        <v>927.90340000000003</v>
      </c>
      <c r="T9" s="119">
        <f t="shared" si="1"/>
        <v>1008.8173</v>
      </c>
      <c r="U9" s="119">
        <f t="shared" si="1"/>
        <v>1110.3507999999999</v>
      </c>
      <c r="V9" s="119">
        <f>'Demand Scenarios (L)'!G3</f>
        <v>1194.0806748045029</v>
      </c>
      <c r="W9" s="119">
        <f>'Demand Scenarios (L)'!H3</f>
        <v>1271.5584909702156</v>
      </c>
      <c r="X9" s="119">
        <f>'Demand Scenarios (L)'!I3</f>
        <v>1354.4430069140942</v>
      </c>
      <c r="Y9" s="119">
        <f>'Demand Scenarios (L)'!J3</f>
        <v>1443.1794803514595</v>
      </c>
      <c r="Z9" s="119">
        <f>'Demand Scenarios (L)'!K3</f>
        <v>1538.2554901422905</v>
      </c>
      <c r="AA9" s="119">
        <f>'Demand Scenarios (L)'!L3</f>
        <v>1640.2047034027753</v>
      </c>
      <c r="AB9" s="117">
        <f>'Demand Scenarios (L)'!M3</f>
        <v>1753.1949984474636</v>
      </c>
      <c r="AC9" s="116">
        <f>'Demand Scenarios (L)'!N3</f>
        <v>1874.8125247487083</v>
      </c>
      <c r="AD9" s="116">
        <f>'Demand Scenarios (L)'!O3</f>
        <v>2005.8179063376106</v>
      </c>
      <c r="AE9" s="116">
        <f>'Demand Scenarios (L)'!P3</f>
        <v>2147.0419804535936</v>
      </c>
      <c r="AF9" s="116">
        <f>'Demand Scenarios (L)'!Q3</f>
        <v>2299.3912372978107</v>
      </c>
      <c r="AG9" s="35"/>
      <c r="AH9" s="35"/>
      <c r="AI9" s="89">
        <v>2663.6013678261497</v>
      </c>
      <c r="AJ9" s="35"/>
      <c r="AK9" s="35"/>
    </row>
    <row r="10" spans="2:37" x14ac:dyDescent="0.35">
      <c r="O10" s="80"/>
      <c r="P10" s="35" t="s">
        <v>24</v>
      </c>
      <c r="Q10" s="120"/>
      <c r="R10" s="120"/>
      <c r="S10" s="120"/>
      <c r="T10" s="120"/>
      <c r="U10" s="120"/>
      <c r="V10" s="119"/>
      <c r="W10" s="119"/>
      <c r="X10" s="119"/>
      <c r="Y10" s="119"/>
      <c r="Z10" s="119"/>
      <c r="AA10" s="119"/>
      <c r="AB10" s="117"/>
      <c r="AC10" s="116"/>
      <c r="AD10" s="116"/>
      <c r="AE10" s="116"/>
      <c r="AF10" s="116"/>
      <c r="AG10" s="35"/>
      <c r="AH10" s="35"/>
      <c r="AI10" s="89"/>
      <c r="AJ10" s="35"/>
      <c r="AK10" s="35"/>
    </row>
    <row r="11" spans="2:37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80"/>
      <c r="P11" s="35" t="s">
        <v>23</v>
      </c>
      <c r="Q11" s="119">
        <f>D17/$H$22</f>
        <v>1715.6224189183854</v>
      </c>
      <c r="R11" s="119">
        <f>E17/$H$22</f>
        <v>1711.0555446887893</v>
      </c>
      <c r="S11" s="119">
        <f>F17/$H$22</f>
        <v>1706.4886704591927</v>
      </c>
      <c r="T11" s="119">
        <f>G17/$H$22</f>
        <v>1701.9217962295961</v>
      </c>
      <c r="U11" s="119">
        <f>H17/$H$22</f>
        <v>1697.354922</v>
      </c>
      <c r="V11" s="119">
        <f>'Demand Scenarios (L)'!G5</f>
        <v>1681.6869204972011</v>
      </c>
      <c r="W11" s="119">
        <f>'Demand Scenarios (L)'!H5</f>
        <v>1649.8590426628466</v>
      </c>
      <c r="X11" s="119">
        <f>'Demand Scenarios (L)'!I5</f>
        <v>1619.0872649630944</v>
      </c>
      <c r="Y11" s="119">
        <f>'Demand Scenarios (L)'!J5</f>
        <v>1589.3841923261346</v>
      </c>
      <c r="Z11" s="119">
        <f>'Demand Scenarios (L)'!K5</f>
        <v>1560.7596910996599</v>
      </c>
      <c r="AA11" s="119">
        <f>'Demand Scenarios (L)'!L5</f>
        <v>1533.2205862829214</v>
      </c>
      <c r="AB11" s="117">
        <f>'Demand Scenarios (L)'!M5</f>
        <v>1505.8804042095815</v>
      </c>
      <c r="AC11" s="116">
        <f>'Demand Scenarios (L)'!N5</f>
        <v>1479.693530855413</v>
      </c>
      <c r="AD11" s="116">
        <f>'Demand Scenarios (L)'!O5</f>
        <v>1454.6519817844555</v>
      </c>
      <c r="AE11" s="116">
        <f>'Demand Scenarios (L)'!P5</f>
        <v>1430.7435776054504</v>
      </c>
      <c r="AF11" s="116">
        <f>'Demand Scenarios (L)'!Q5</f>
        <v>1407.9518764738903</v>
      </c>
      <c r="AG11" s="35"/>
      <c r="AH11" s="35"/>
      <c r="AI11" s="89">
        <v>1423.5307529244453</v>
      </c>
      <c r="AJ11" s="35"/>
      <c r="AK11" s="35"/>
    </row>
    <row r="12" spans="2:37" ht="26" customHeight="1" x14ac:dyDescent="0.35">
      <c r="B12" s="1"/>
      <c r="C12" s="172" t="s">
        <v>8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"/>
      <c r="O12" s="80"/>
      <c r="P12" s="35" t="s">
        <v>63</v>
      </c>
      <c r="Q12" s="120">
        <f t="shared" ref="Q12:V12" si="2">D6</f>
        <v>4424</v>
      </c>
      <c r="R12" s="120">
        <f t="shared" si="2"/>
        <v>4503</v>
      </c>
      <c r="S12" s="120">
        <f t="shared" si="2"/>
        <v>4608</v>
      </c>
      <c r="T12" s="120">
        <f t="shared" si="2"/>
        <v>4649</v>
      </c>
      <c r="U12" s="120">
        <f t="shared" si="2"/>
        <v>4691</v>
      </c>
      <c r="V12" s="120">
        <f t="shared" si="2"/>
        <v>4718</v>
      </c>
      <c r="W12" s="119">
        <f>(($AA12/$V12)^(1/5))*V12</f>
        <v>4755.5960281308016</v>
      </c>
      <c r="X12" s="119">
        <f>(($AA12/$V12)^(1/5))*W12</f>
        <v>4793.4916453525766</v>
      </c>
      <c r="Y12" s="119">
        <f>(($AA12/$V12)^(1/5))*X12</f>
        <v>4831.6892389819623</v>
      </c>
      <c r="Z12" s="119">
        <f>(($AA12/$V12)^(1/5))*Y12</f>
        <v>4870.191215359253</v>
      </c>
      <c r="AA12" s="121">
        <f>K6</f>
        <v>4909</v>
      </c>
      <c r="AB12" s="117">
        <f>(($AF12/$AA12)^(1/5))*AA12</f>
        <v>4938.2493632340793</v>
      </c>
      <c r="AC12" s="116">
        <f>(($AF12/$AA12)^(1/5))*AB12</f>
        <v>4967.673003357464</v>
      </c>
      <c r="AD12" s="116">
        <f>(($AF12/$AA12)^(1/5))*AC12</f>
        <v>4997.2719587665761</v>
      </c>
      <c r="AE12" s="116">
        <f>(($AF12/$AA12)^(1/5))*AD12</f>
        <v>5027.0472740449304</v>
      </c>
      <c r="AF12" s="118">
        <f>M6</f>
        <v>5057</v>
      </c>
      <c r="AG12" s="35"/>
      <c r="AH12" s="35"/>
      <c r="AI12" s="85">
        <v>5057</v>
      </c>
      <c r="AJ12" s="35"/>
      <c r="AK12" s="35"/>
    </row>
    <row r="13" spans="2:37" x14ac:dyDescent="0.35">
      <c r="B13" s="1"/>
      <c r="C13" s="4"/>
      <c r="D13" s="179" t="s">
        <v>9</v>
      </c>
      <c r="E13" s="180"/>
      <c r="F13" s="180"/>
      <c r="G13" s="180"/>
      <c r="H13" s="180"/>
      <c r="I13" s="4"/>
      <c r="J13" s="4"/>
      <c r="K13" s="181" t="s">
        <v>7</v>
      </c>
      <c r="L13" s="182"/>
      <c r="M13" s="182"/>
      <c r="N13" s="1"/>
      <c r="O13" s="80"/>
      <c r="P13" s="35" t="s">
        <v>64</v>
      </c>
      <c r="Q13" s="120">
        <f>'RVU scenarios (L)'!B2</f>
        <v>9789.5982547883941</v>
      </c>
      <c r="R13" s="120">
        <f>'RVU scenarios (L)'!C2</f>
        <v>9801.0361174523405</v>
      </c>
      <c r="S13" s="120">
        <f>'RVU scenarios (L)'!D2</f>
        <v>9698.0350313784566</v>
      </c>
      <c r="T13" s="120">
        <f>'RVU scenarios (L)'!E2</f>
        <v>9804.5714545700066</v>
      </c>
      <c r="U13" s="120">
        <f>'RVU scenarios (L)'!F2</f>
        <v>10000</v>
      </c>
      <c r="V13" s="120">
        <f>'RVU scenarios (L)'!G2</f>
        <v>10053.303242913109</v>
      </c>
      <c r="W13" s="120">
        <f>'RVU scenarios (L)'!H2</f>
        <v>10106.890609396723</v>
      </c>
      <c r="X13" s="120">
        <f>'RVU scenarios (L)'!I2</f>
        <v>10160.763613921614</v>
      </c>
      <c r="Y13" s="120">
        <f>'RVU scenarios (L)'!J2</f>
        <v>10214.923779031169</v>
      </c>
      <c r="Z13" s="120">
        <f>'RVU scenarios (L)'!K2</f>
        <v>10269.372635384429</v>
      </c>
      <c r="AA13" s="120">
        <f>'RVU scenarios (L)'!L2</f>
        <v>10324.111721799347</v>
      </c>
      <c r="AB13" s="121">
        <f>'RVU scenarios (L)'!M2</f>
        <v>10379.142585296262</v>
      </c>
      <c r="AC13" s="118">
        <f>'RVU scenarios (L)'!N2</f>
        <v>10434.466781141648</v>
      </c>
      <c r="AD13" s="118">
        <f>'RVU scenarios (L)'!O2</f>
        <v>10490.085872892045</v>
      </c>
      <c r="AE13" s="118">
        <f>'RVU scenarios (L)'!P2</f>
        <v>10546.001432438259</v>
      </c>
      <c r="AF13" s="118">
        <f>'RVU scenarios (L)'!Q2</f>
        <v>10602.215040049787</v>
      </c>
      <c r="AG13" s="88">
        <f>AF12*AF13</f>
        <v>53615401.457531773</v>
      </c>
      <c r="AH13" s="35"/>
      <c r="AI13" s="85">
        <v>11106.094044533254</v>
      </c>
      <c r="AJ13" s="35"/>
      <c r="AK13" s="35"/>
    </row>
    <row r="14" spans="2:37" x14ac:dyDescent="0.35">
      <c r="B14" s="1"/>
      <c r="C14" s="14"/>
      <c r="D14" s="15">
        <v>2015</v>
      </c>
      <c r="E14" s="15">
        <v>2016</v>
      </c>
      <c r="F14" s="15">
        <v>2017</v>
      </c>
      <c r="G14" s="15">
        <v>2018</v>
      </c>
      <c r="H14" s="15">
        <v>2019</v>
      </c>
      <c r="I14" s="16"/>
      <c r="J14" s="16"/>
      <c r="K14" s="17">
        <v>2025</v>
      </c>
      <c r="L14" s="16"/>
      <c r="M14" s="17">
        <v>2030</v>
      </c>
      <c r="N14" s="1"/>
      <c r="O14" s="80"/>
      <c r="P14" s="35"/>
      <c r="Q14" s="35"/>
      <c r="R14" s="35"/>
      <c r="S14" s="35"/>
      <c r="T14" s="35"/>
      <c r="U14" s="35"/>
      <c r="V14" s="35"/>
      <c r="W14" s="35"/>
      <c r="X14" s="91"/>
      <c r="Y14" s="35"/>
      <c r="Z14" s="35"/>
      <c r="AA14" s="35">
        <f>(AA7/U7)^(1/6)-1</f>
        <v>1.2123471576189981E-2</v>
      </c>
      <c r="AB14" s="35"/>
      <c r="AC14" s="35"/>
      <c r="AD14" s="35"/>
      <c r="AE14" s="35"/>
      <c r="AF14" s="35">
        <f>(AF7/AA7)^(1/5)-1</f>
        <v>2.077713896191602E-2</v>
      </c>
      <c r="AG14" s="35"/>
      <c r="AH14" s="35"/>
      <c r="AI14" s="35"/>
      <c r="AJ14" s="35"/>
      <c r="AK14" s="35"/>
    </row>
    <row r="15" spans="2:37" ht="18" customHeight="1" x14ac:dyDescent="0.35">
      <c r="B15" s="1"/>
      <c r="C15" s="10" t="s">
        <v>4</v>
      </c>
      <c r="D15" s="20">
        <v>18007966.489999998</v>
      </c>
      <c r="E15" s="20">
        <v>18396475.190000001</v>
      </c>
      <c r="F15" s="20">
        <v>18344624.719999999</v>
      </c>
      <c r="G15" s="20">
        <v>18474061.73</v>
      </c>
      <c r="H15" s="20">
        <v>18832942.780000001</v>
      </c>
      <c r="I15" s="11"/>
      <c r="J15" s="31">
        <f>(H15/D15)^(1/4)-1</f>
        <v>1.1261278432715294E-2</v>
      </c>
      <c r="K15" s="29">
        <f>'Demand Scenarios (L)'!L7</f>
        <v>18693127.923078276</v>
      </c>
      <c r="L15" s="13"/>
      <c r="M15" s="30">
        <f>'Demand Scenarios (L)'!Q7</f>
        <v>18814893.037770815</v>
      </c>
      <c r="N15" s="1"/>
      <c r="O15" s="80"/>
      <c r="P15" s="35"/>
      <c r="Q15" s="35"/>
      <c r="R15" s="35"/>
      <c r="S15" s="35"/>
      <c r="T15" s="35"/>
      <c r="U15" s="35"/>
      <c r="V15" s="35"/>
      <c r="W15" s="89">
        <v>4754.333333333333</v>
      </c>
      <c r="X15" s="89">
        <v>4790.6666666666661</v>
      </c>
      <c r="Y15" s="89">
        <v>4826.9999999999991</v>
      </c>
      <c r="Z15" s="89">
        <v>4863.3333333333321</v>
      </c>
      <c r="AA15" s="35"/>
      <c r="AB15" s="35"/>
      <c r="AC15" s="35"/>
      <c r="AD15" s="35"/>
      <c r="AE15" s="35"/>
      <c r="AF15" s="35">
        <f>AF13/U13</f>
        <v>1.0602215040049787</v>
      </c>
      <c r="AG15" s="90">
        <f>AF12*AF27</f>
        <v>3054597.9846277018</v>
      </c>
      <c r="AH15" s="35"/>
      <c r="AI15" s="35"/>
      <c r="AJ15" s="35"/>
      <c r="AK15" s="35"/>
    </row>
    <row r="16" spans="2:37" ht="18" customHeight="1" x14ac:dyDescent="0.35">
      <c r="B16" s="1"/>
      <c r="C16" s="10" t="s">
        <v>5</v>
      </c>
      <c r="D16" s="21">
        <f>ROUND(D15*('Public source data (L)'!B3/'Public source data (L)'!B2),0)</f>
        <v>8144992</v>
      </c>
      <c r="E16" s="21">
        <f>ROUND(E15*('Public source data (L)'!C3/'Public source data (L)'!C2),0)</f>
        <v>8627035</v>
      </c>
      <c r="F16" s="21">
        <f>ROUND(F15*('Public source data (L)'!D3/'Public source data (L)'!D2),0)</f>
        <v>9279034</v>
      </c>
      <c r="G16" s="21">
        <f>ROUND(G15*('Public source data (L)'!E3/'Public source data (L)'!E2),0)</f>
        <v>10088173</v>
      </c>
      <c r="H16" s="21">
        <f>ROUND(H15*('Public source data (L)'!F3/'Public source data (L)'!F2),0)</f>
        <v>11103508</v>
      </c>
      <c r="I16" s="11"/>
      <c r="J16" s="31">
        <f>(H16/D16)^(1/4)-1</f>
        <v>8.0543827781500266E-2</v>
      </c>
      <c r="K16" s="29">
        <f>'Demand Scenarios (L)'!L8</f>
        <v>16402047.034027753</v>
      </c>
      <c r="L16" s="13"/>
      <c r="M16" s="30">
        <f>'Demand Scenarios (L)'!Q8</f>
        <v>22993912.372978106</v>
      </c>
      <c r="N16" s="1"/>
      <c r="P16" s="35"/>
      <c r="Q16" s="35"/>
      <c r="R16" s="35"/>
      <c r="S16" s="35"/>
      <c r="T16" s="35"/>
      <c r="U16" s="111">
        <f t="shared" ref="U16:AF16" si="3">(U8+U9)/U7</f>
        <v>0.63816778469409507</v>
      </c>
      <c r="V16" s="111">
        <f t="shared" si="3"/>
        <v>0.64753515909946757</v>
      </c>
      <c r="W16" s="111">
        <f t="shared" si="3"/>
        <v>0.65702508138133986</v>
      </c>
      <c r="X16" s="111">
        <f t="shared" si="3"/>
        <v>0.66662579356117657</v>
      </c>
      <c r="Y16" s="111">
        <f t="shared" si="3"/>
        <v>0.67632416451771005</v>
      </c>
      <c r="Z16" s="111">
        <f t="shared" si="3"/>
        <v>0.68610572812518389</v>
      </c>
      <c r="AA16" s="111">
        <f t="shared" si="3"/>
        <v>0.6959547449514174</v>
      </c>
      <c r="AB16" s="111">
        <f t="shared" si="3"/>
        <v>0.70640155163071017</v>
      </c>
      <c r="AC16" s="111">
        <f t="shared" si="3"/>
        <v>0.71685816462700624</v>
      </c>
      <c r="AD16" s="111">
        <f t="shared" si="3"/>
        <v>0.7273039862604963</v>
      </c>
      <c r="AE16" s="111">
        <f t="shared" si="3"/>
        <v>0.73771773276640207</v>
      </c>
      <c r="AF16" s="111">
        <f t="shared" si="3"/>
        <v>0.74807763566984764</v>
      </c>
      <c r="AG16" s="35"/>
      <c r="AH16" s="35"/>
      <c r="AI16" s="35"/>
      <c r="AJ16" s="35"/>
      <c r="AK16" s="35"/>
    </row>
    <row r="17" spans="2:37" ht="18" customHeight="1" x14ac:dyDescent="0.35">
      <c r="B17" s="1"/>
      <c r="C17" s="10" t="s">
        <v>6</v>
      </c>
      <c r="D17" s="20">
        <f>$H17*'Public source data (L)'!B8</f>
        <v>17156224.189183854</v>
      </c>
      <c r="E17" s="20">
        <f>$H17*'Public source data (L)'!C8</f>
        <v>17110555.446887892</v>
      </c>
      <c r="F17" s="20">
        <f>$H17*'Public source data (L)'!D8</f>
        <v>17064886.704591926</v>
      </c>
      <c r="G17" s="20">
        <f>$H17*'Public source data (L)'!E8</f>
        <v>17019217.962295961</v>
      </c>
      <c r="H17" s="20">
        <f>(H6*H19)-H16-H15</f>
        <v>16973549.219999999</v>
      </c>
      <c r="I17" s="87">
        <f>H18-D18</f>
        <v>3600817.3208161443</v>
      </c>
      <c r="J17" s="28"/>
      <c r="K17" s="29">
        <f>'Demand Scenarios (L)'!L10</f>
        <v>15332205.862829214</v>
      </c>
      <c r="L17" s="13"/>
      <c r="M17" s="30">
        <f>'Demand Scenarios (L)'!Q10</f>
        <v>14079518.764738902</v>
      </c>
      <c r="N17" s="1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2:37" ht="18" customHeight="1" x14ac:dyDescent="0.35">
      <c r="B18" s="1"/>
      <c r="C18" s="18" t="s">
        <v>11</v>
      </c>
      <c r="D18" s="20">
        <f>SUM(D15:D17)</f>
        <v>43309182.679183856</v>
      </c>
      <c r="E18" s="20">
        <f>SUM(E15:E17)</f>
        <v>44134065.636887893</v>
      </c>
      <c r="F18" s="20">
        <f>SUM(F15:F17)</f>
        <v>44688545.424591929</v>
      </c>
      <c r="G18" s="20">
        <f>SUM(G15:G17)</f>
        <v>45581452.692295961</v>
      </c>
      <c r="H18" s="20">
        <f>SUM(H15:H17)</f>
        <v>46910000</v>
      </c>
      <c r="I18" s="87">
        <f>H19-D19</f>
        <v>210.40174521160588</v>
      </c>
      <c r="J18" s="28"/>
      <c r="K18" s="20">
        <f>SUM(K15:K17)</f>
        <v>50427380.819935247</v>
      </c>
      <c r="L18" s="13"/>
      <c r="M18" s="20">
        <f>SUM(M15:M17)</f>
        <v>55888324.175487824</v>
      </c>
      <c r="N18" s="1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2:37" ht="18" customHeight="1" x14ac:dyDescent="0.35">
      <c r="B19" s="1"/>
      <c r="C19" s="18" t="s">
        <v>241</v>
      </c>
      <c r="D19" s="27">
        <f>D18/D6</f>
        <v>9789.5982547883941</v>
      </c>
      <c r="E19" s="27">
        <f>E18/E6</f>
        <v>9801.0361174523405</v>
      </c>
      <c r="F19" s="27">
        <f>F18/F6</f>
        <v>9698.0350313784566</v>
      </c>
      <c r="G19" s="27">
        <f>G18/G6</f>
        <v>9804.5714545700066</v>
      </c>
      <c r="H19" s="24">
        <f>H22</f>
        <v>10000</v>
      </c>
      <c r="I19" s="11">
        <f>H19/D19</f>
        <v>1.0214923779031169</v>
      </c>
      <c r="J19" s="11"/>
      <c r="K19" s="27">
        <f>K18/K6</f>
        <v>10272.434471365908</v>
      </c>
      <c r="L19" s="13"/>
      <c r="M19" s="27">
        <f>M18/M6</f>
        <v>11051.675731755551</v>
      </c>
      <c r="N19" s="1"/>
      <c r="P19" s="35">
        <f>M19/H19</f>
        <v>1.105167573175555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2:37" ht="9.5" customHeight="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P20" s="35"/>
      <c r="Q20" s="35"/>
      <c r="R20" s="11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2:37" ht="18" customHeight="1" x14ac:dyDescent="0.35"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2:37" ht="15.5" x14ac:dyDescent="0.35">
      <c r="C22" s="173" t="s">
        <v>69</v>
      </c>
      <c r="D22" s="173"/>
      <c r="E22" s="173"/>
      <c r="F22" s="173"/>
      <c r="G22" s="173"/>
      <c r="H22" s="128">
        <f>'Live Output Detail'!H3</f>
        <v>10000</v>
      </c>
      <c r="J22" s="189" t="s">
        <v>70</v>
      </c>
      <c r="K22" s="189"/>
      <c r="L22" s="189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2:37" x14ac:dyDescent="0.35">
      <c r="D23" s="71"/>
      <c r="H23" s="71"/>
      <c r="J23" s="183" t="s">
        <v>4</v>
      </c>
      <c r="K23" s="183"/>
      <c r="L23" s="36">
        <f>U8*H22</f>
        <v>18832942.780000001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2:37" x14ac:dyDescent="0.35">
      <c r="H24" s="71">
        <f>(H15+H16)/H6</f>
        <v>6381.677846940951</v>
      </c>
      <c r="J24" s="184" t="s">
        <v>27</v>
      </c>
      <c r="K24" s="184"/>
      <c r="L24" s="37">
        <f>U9*H22</f>
        <v>11103508</v>
      </c>
    </row>
    <row r="25" spans="2:37" ht="15.5" x14ac:dyDescent="0.35">
      <c r="C25" s="41"/>
      <c r="J25" s="185" t="s">
        <v>6</v>
      </c>
      <c r="K25" s="185"/>
      <c r="L25" s="38">
        <f>U11*H22</f>
        <v>16973549.219999999</v>
      </c>
    </row>
    <row r="26" spans="2:37" ht="27.5" customHeight="1" x14ac:dyDescent="0.55000000000000004">
      <c r="C26" s="42" t="s">
        <v>34</v>
      </c>
      <c r="D26" s="34" t="str">
        <f>D27</f>
        <v>RVUs continue the trend from 2015 to 2019 [simple trend]</v>
      </c>
      <c r="E26" s="34" t="str">
        <f>D28</f>
        <v>Risk for exit by 2025 and by 2030 same as by 2020 (risk by years since anchor date, all in 5 year increments)</v>
      </c>
      <c r="R26" s="43"/>
      <c r="S26" s="44"/>
      <c r="T26" s="44"/>
      <c r="U26" s="45"/>
      <c r="V26" s="55">
        <v>2015</v>
      </c>
      <c r="W26" s="55">
        <v>2020</v>
      </c>
      <c r="X26" s="55">
        <v>2025</v>
      </c>
      <c r="Y26" s="55">
        <v>2030</v>
      </c>
      <c r="AC26" s="98">
        <v>0</v>
      </c>
      <c r="AD26" s="98">
        <v>-53.255802285767331</v>
      </c>
      <c r="AE26" s="98">
        <v>-346.47428921785325</v>
      </c>
      <c r="AF26" s="99">
        <v>-809.69678853835785</v>
      </c>
    </row>
    <row r="27" spans="2:37" ht="31" customHeight="1" x14ac:dyDescent="0.45">
      <c r="C27" s="52" t="s">
        <v>65</v>
      </c>
      <c r="D27" s="192" t="str">
        <f>'Live Output Detail'!D8</f>
        <v>RVUs continue the trend from 2015 to 2019 [simple trend]</v>
      </c>
      <c r="E27" s="193"/>
      <c r="F27" s="193"/>
      <c r="G27" s="193"/>
      <c r="H27" s="193"/>
      <c r="J27" s="47" t="str">
        <f>J23</f>
        <v>Medicare FFS</v>
      </c>
      <c r="K27" s="48">
        <f>L23/SUM(L$23:L$25)</f>
        <v>0.40146968194414839</v>
      </c>
      <c r="Q27" s="186" t="s">
        <v>68</v>
      </c>
      <c r="R27" s="187"/>
      <c r="S27" s="187"/>
      <c r="T27" s="187"/>
      <c r="U27" s="188"/>
      <c r="V27" s="53">
        <f>((Q6/Q7)-1)*D6</f>
        <v>0</v>
      </c>
      <c r="W27" s="53">
        <f>((V6/V7)-1)*I6</f>
        <v>-27.757356065533106</v>
      </c>
      <c r="X27" s="53">
        <f>((AA6/AA7)-1)*K6</f>
        <v>24.695569787754653</v>
      </c>
      <c r="Y27" s="54">
        <f>((AF6/AF7)-1)*M6</f>
        <v>-205.66317480932847</v>
      </c>
      <c r="AA27" s="74">
        <f>Y27/M6</f>
        <v>-4.0669008267614881E-2</v>
      </c>
      <c r="AC27" s="25">
        <f>V27-AC26</f>
        <v>0</v>
      </c>
      <c r="AD27" s="25">
        <f>W27-AD26</f>
        <v>25.498446220234225</v>
      </c>
      <c r="AE27" s="25">
        <f>X27-AE26</f>
        <v>371.16985900560792</v>
      </c>
      <c r="AF27" s="25">
        <f>Y27-AF26</f>
        <v>604.03361372902941</v>
      </c>
    </row>
    <row r="28" spans="2:37" ht="29" customHeight="1" x14ac:dyDescent="0.35">
      <c r="C28" s="52" t="s">
        <v>109</v>
      </c>
      <c r="D28" s="192" t="str">
        <f>'Live Output Detail'!D9</f>
        <v>Risk for exit by 2025 and by 2030 same as by 2020 (risk by years since anchor date, all in 5 year increments)</v>
      </c>
      <c r="E28" s="193"/>
      <c r="F28" s="193"/>
      <c r="G28" s="193"/>
      <c r="H28" s="193"/>
      <c r="I28" t="s">
        <v>12</v>
      </c>
      <c r="J28" t="str">
        <f>J24</f>
        <v>Managed Medicare</v>
      </c>
      <c r="K28" s="48">
        <f>L24/SUM(L$23:L$25)</f>
        <v>0.23669810274994671</v>
      </c>
      <c r="V28" s="177" t="s">
        <v>160</v>
      </c>
      <c r="W28" s="178"/>
      <c r="X28" s="178"/>
      <c r="Y28" s="178"/>
      <c r="AA28" s="74">
        <f>X27/K6</f>
        <v>5.0306721914350483E-3</v>
      </c>
      <c r="AB28" s="74">
        <f>AF13/H19</f>
        <v>1.0602215040049787</v>
      </c>
    </row>
    <row r="29" spans="2:37" x14ac:dyDescent="0.35">
      <c r="D29" s="51" t="s">
        <v>71</v>
      </c>
      <c r="J29" s="47" t="str">
        <f>J25</f>
        <v>All other</v>
      </c>
      <c r="K29" s="48">
        <f>L25/SUM(L$23:L$25)</f>
        <v>0.36183221530590493</v>
      </c>
    </row>
    <row r="30" spans="2:37" ht="27.5" customHeight="1" x14ac:dyDescent="0.55000000000000004">
      <c r="C30" s="42" t="s">
        <v>66</v>
      </c>
      <c r="D30" s="34"/>
      <c r="Q30" s="40"/>
      <c r="R30" s="25"/>
      <c r="S30" s="25"/>
      <c r="T30" s="25"/>
      <c r="U30" s="25"/>
      <c r="V30" s="25">
        <v>0</v>
      </c>
      <c r="W30" s="25">
        <v>16.992544472509664</v>
      </c>
      <c r="X30" s="25">
        <v>106.37179060139432</v>
      </c>
      <c r="Y30" s="25">
        <v>-61.463988475790082</v>
      </c>
    </row>
    <row r="31" spans="2:37" ht="30.5" customHeight="1" x14ac:dyDescent="0.35">
      <c r="C31" s="52" t="s">
        <v>244</v>
      </c>
      <c r="D31" s="191" t="str">
        <f>'Live Output Detail'!D12</f>
        <v>High</v>
      </c>
      <c r="E31" s="191"/>
      <c r="F31" s="191"/>
      <c r="G31" s="191"/>
      <c r="H31" s="191"/>
    </row>
    <row r="32" spans="2:37" ht="30.5" customHeight="1" x14ac:dyDescent="0.35">
      <c r="C32" s="52" t="s">
        <v>112</v>
      </c>
      <c r="D32" s="191" t="str">
        <f>'Live Output Detail'!D13</f>
        <v>High</v>
      </c>
      <c r="E32" s="191"/>
      <c r="F32" s="191"/>
      <c r="G32" s="191"/>
      <c r="H32" s="191"/>
    </row>
    <row r="33" spans="3:8" ht="30.5" customHeight="1" x14ac:dyDescent="0.35">
      <c r="C33" s="52" t="s">
        <v>113</v>
      </c>
      <c r="D33" s="191" t="str">
        <f>'Live Output Detail'!D14</f>
        <v>High</v>
      </c>
      <c r="E33" s="191"/>
      <c r="F33" s="191"/>
      <c r="G33" s="191"/>
      <c r="H33" s="191"/>
    </row>
    <row r="34" spans="3:8" ht="30.5" customHeight="1" x14ac:dyDescent="0.35">
      <c r="C34" s="52" t="s">
        <v>117</v>
      </c>
      <c r="D34" s="191" t="str">
        <f>'Live Output Detail'!D15</f>
        <v>High</v>
      </c>
      <c r="E34" s="191"/>
      <c r="F34" s="191"/>
      <c r="G34" s="191"/>
      <c r="H34" s="191"/>
    </row>
    <row r="35" spans="3:8" ht="30.5" customHeight="1" x14ac:dyDescent="0.35">
      <c r="C35" s="52" t="s">
        <v>110</v>
      </c>
      <c r="D35" s="191" t="str">
        <f>'Live Output Detail'!D16</f>
        <v>High: early breast cancer down 25%, prostate down 15%, all others down 6%</v>
      </c>
      <c r="E35" s="191"/>
      <c r="F35" s="191"/>
      <c r="G35" s="191"/>
      <c r="H35" s="191"/>
    </row>
    <row r="36" spans="3:8" ht="32" customHeight="1" x14ac:dyDescent="0.35">
      <c r="C36" s="52" t="s">
        <v>266</v>
      </c>
      <c r="D36" s="191">
        <f>'Live Output Detail'!D17</f>
        <v>0</v>
      </c>
      <c r="E36" s="191"/>
      <c r="F36" s="191"/>
      <c r="G36" s="191"/>
      <c r="H36" s="191"/>
    </row>
    <row r="37" spans="3:8" ht="32" customHeight="1" x14ac:dyDescent="0.35">
      <c r="C37" s="52" t="s">
        <v>267</v>
      </c>
      <c r="D37" s="191">
        <f>'Live Output Detail'!D18</f>
        <v>0</v>
      </c>
      <c r="E37" s="191"/>
      <c r="F37" s="191"/>
      <c r="G37" s="191"/>
      <c r="H37" s="191"/>
    </row>
    <row r="38" spans="3:8" ht="32" customHeight="1" x14ac:dyDescent="0.35">
      <c r="C38" s="52" t="s">
        <v>111</v>
      </c>
      <c r="D38" s="191" t="str">
        <f>'Live Output Detail'!D19</f>
        <v xml:space="preserve">No movement of demand not otherwise modeled </v>
      </c>
      <c r="E38" s="191"/>
      <c r="F38" s="191"/>
      <c r="G38" s="191"/>
      <c r="H38" s="191"/>
    </row>
    <row r="40" spans="3:8" ht="15.5" x14ac:dyDescent="0.35">
      <c r="C40" s="41"/>
    </row>
    <row r="49" spans="4:4" x14ac:dyDescent="0.35">
      <c r="D49" s="84" t="str">
        <f>D35</f>
        <v>High: early breast cancer down 25%, prostate down 15%, all others down 6%</v>
      </c>
    </row>
    <row r="50" spans="4:4" x14ac:dyDescent="0.35">
      <c r="D50" s="84" t="str">
        <f>D38</f>
        <v xml:space="preserve">No movement of demand not otherwise modeled </v>
      </c>
    </row>
    <row r="51" spans="4:4" x14ac:dyDescent="0.35">
      <c r="D51" s="84">
        <f>D36</f>
        <v>0</v>
      </c>
    </row>
    <row r="52" spans="4:4" x14ac:dyDescent="0.35">
      <c r="D52" s="84">
        <f>D37</f>
        <v>0</v>
      </c>
    </row>
  </sheetData>
  <mergeCells count="23">
    <mergeCell ref="J24:K24"/>
    <mergeCell ref="J25:K25"/>
    <mergeCell ref="C22:G22"/>
    <mergeCell ref="V28:Y28"/>
    <mergeCell ref="C3:M3"/>
    <mergeCell ref="D4:I4"/>
    <mergeCell ref="K4:M4"/>
    <mergeCell ref="C12:M12"/>
    <mergeCell ref="D13:H13"/>
    <mergeCell ref="K13:M13"/>
    <mergeCell ref="Q27:U27"/>
    <mergeCell ref="J22:L22"/>
    <mergeCell ref="J23:K23"/>
    <mergeCell ref="D35:H35"/>
    <mergeCell ref="D27:H27"/>
    <mergeCell ref="D36:H36"/>
    <mergeCell ref="D38:H38"/>
    <mergeCell ref="D32:H32"/>
    <mergeCell ref="D33:H33"/>
    <mergeCell ref="D34:H34"/>
    <mergeCell ref="D28:H28"/>
    <mergeCell ref="D31:H31"/>
    <mergeCell ref="D37:H3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426FF8D-012D-4695-8C71-4677DE56E09C}">
          <x14:formula1>
            <xm:f>'Dropdowns (L)'!$A$4:$A$9</xm:f>
          </x14:formula1>
          <xm:sqref>H22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9C55-F642-4EF8-98BC-20A92088FB73}">
  <sheetPr>
    <tabColor theme="9" tint="0.79998168889431442"/>
  </sheetPr>
  <dimension ref="A1:T140"/>
  <sheetViews>
    <sheetView zoomScaleNormal="100" workbookViewId="0">
      <selection sqref="A1:XFD1048576"/>
    </sheetView>
  </sheetViews>
  <sheetFormatPr defaultRowHeight="14.5" x14ac:dyDescent="0.35"/>
  <cols>
    <col min="1" max="1" width="59.7265625" bestFit="1" customWidth="1"/>
    <col min="2" max="2" width="29.90625" bestFit="1" customWidth="1"/>
    <col min="3" max="3" width="33.7265625" bestFit="1" customWidth="1"/>
    <col min="4" max="4" width="35.26953125" bestFit="1" customWidth="1"/>
    <col min="5" max="5" width="29.7265625" bestFit="1" customWidth="1"/>
    <col min="6" max="6" width="29.6328125" bestFit="1" customWidth="1"/>
    <col min="7" max="8" width="82.54296875" bestFit="1" customWidth="1"/>
    <col min="9" max="9" width="80.6328125" bestFit="1" customWidth="1"/>
    <col min="10" max="10" width="80.90625" bestFit="1" customWidth="1"/>
    <col min="11" max="11" width="81.81640625" bestFit="1" customWidth="1"/>
    <col min="12" max="12" width="107.81640625" bestFit="1" customWidth="1"/>
    <col min="13" max="13" width="83.6328125" bestFit="1" customWidth="1"/>
    <col min="14" max="14" width="82.54296875" bestFit="1" customWidth="1"/>
    <col min="15" max="15" width="82.7265625" bestFit="1" customWidth="1"/>
    <col min="16" max="16" width="81.81640625" bestFit="1" customWidth="1"/>
    <col min="17" max="17" width="108.6328125" bestFit="1" customWidth="1"/>
    <col min="18" max="18" width="9.81640625" bestFit="1" customWidth="1"/>
    <col min="19" max="19" width="13.26953125" bestFit="1" customWidth="1"/>
    <col min="20" max="20" width="11.26953125" bestFit="1" customWidth="1"/>
  </cols>
  <sheetData>
    <row r="1" spans="1:20" x14ac:dyDescent="0.35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>
        <v>2023</v>
      </c>
      <c r="K1">
        <v>2024</v>
      </c>
      <c r="L1">
        <v>2025</v>
      </c>
      <c r="M1">
        <v>2026</v>
      </c>
      <c r="N1">
        <v>2027</v>
      </c>
      <c r="O1">
        <v>2028</v>
      </c>
      <c r="P1">
        <v>2029</v>
      </c>
      <c r="Q1">
        <v>2030</v>
      </c>
      <c r="S1" t="s">
        <v>250</v>
      </c>
    </row>
    <row r="2" spans="1:20" x14ac:dyDescent="0.35">
      <c r="A2" s="47" t="s">
        <v>25</v>
      </c>
      <c r="B2" s="50">
        <f>B7/'Live Output Fx'!$H$22</f>
        <v>1800.7966489999999</v>
      </c>
      <c r="C2" s="50">
        <f>C7/'Live Output Fx'!$H$22</f>
        <v>1839.6475190000001</v>
      </c>
      <c r="D2" s="50">
        <f>D7/'Live Output Fx'!$H$22</f>
        <v>1834.4624719999999</v>
      </c>
      <c r="E2" s="50">
        <f>E7/'Live Output Fx'!$H$22</f>
        <v>1847.4061730000001</v>
      </c>
      <c r="F2" s="50">
        <f>F7/'Live Output Fx'!$H$22</f>
        <v>1883.2942780000001</v>
      </c>
      <c r="G2" s="50">
        <f>G7/'Live Output Fx'!$H$22</f>
        <v>1895.4513330900293</v>
      </c>
      <c r="H2" s="50">
        <f>H7/'Live Output Fx'!$H$22</f>
        <v>1889.0188950938389</v>
      </c>
      <c r="I2" s="50">
        <f>I7/'Live Output Fx'!$H$22</f>
        <v>1883.136001913279</v>
      </c>
      <c r="J2" s="50">
        <f>J7/'Live Output Fx'!$H$22</f>
        <v>1877.8560068078648</v>
      </c>
      <c r="K2" s="50">
        <f>K7/'Live Output Fx'!$H$22</f>
        <v>1873.2313072894019</v>
      </c>
      <c r="L2" s="50">
        <f>L7/'Live Output Fx'!$H$22</f>
        <v>1869.3127923078275</v>
      </c>
      <c r="M2" s="50">
        <f>M7/'Live Output Fx'!$H$22</f>
        <v>1869.9721538732144</v>
      </c>
      <c r="N2" s="50">
        <f>N7/'Live Output Fx'!$H$22</f>
        <v>1871.47381030356</v>
      </c>
      <c r="O2" s="50">
        <f>O7/'Live Output Fx'!$H$22</f>
        <v>1873.8654468052346</v>
      </c>
      <c r="P2" s="50">
        <f>P7/'Live Output Fx'!$H$22</f>
        <v>1877.1908408264351</v>
      </c>
      <c r="Q2" s="50">
        <f>Q7/'Live Output Fx'!$H$22</f>
        <v>1881.4893037770814</v>
      </c>
      <c r="S2">
        <v>2021</v>
      </c>
      <c r="T2" s="25">
        <f>H7+H8</f>
        <v>31605773.860640544</v>
      </c>
    </row>
    <row r="3" spans="1:20" x14ac:dyDescent="0.35">
      <c r="A3" s="47" t="s">
        <v>26</v>
      </c>
      <c r="B3" s="50">
        <f>B8/'Live Output Fx'!$H$22</f>
        <v>814.49919999999997</v>
      </c>
      <c r="C3" s="50">
        <f>C8/'Live Output Fx'!$H$22</f>
        <v>862.70349999999996</v>
      </c>
      <c r="D3" s="50">
        <f>D8/'Live Output Fx'!$H$22</f>
        <v>927.90340000000003</v>
      </c>
      <c r="E3" s="50">
        <f>E8/'Live Output Fx'!$H$22</f>
        <v>1008.8173</v>
      </c>
      <c r="F3" s="50">
        <f>F8/'Live Output Fx'!$H$22</f>
        <v>1110.3507999999999</v>
      </c>
      <c r="G3" s="50">
        <f>G8/'Live Output Fx'!$H$22</f>
        <v>1194.0806748045029</v>
      </c>
      <c r="H3" s="50">
        <f>H8/'Live Output Fx'!$H$22</f>
        <v>1271.5584909702156</v>
      </c>
      <c r="I3" s="50">
        <f>I8/'Live Output Fx'!$H$22</f>
        <v>1354.4430069140942</v>
      </c>
      <c r="J3" s="50">
        <f>J8/'Live Output Fx'!$H$22</f>
        <v>1443.1794803514595</v>
      </c>
      <c r="K3" s="50">
        <f>K8/'Live Output Fx'!$H$22</f>
        <v>1538.2554901422905</v>
      </c>
      <c r="L3" s="50">
        <f>L8/'Live Output Fx'!$H$22</f>
        <v>1640.2047034027753</v>
      </c>
      <c r="M3" s="50">
        <f>M8/'Live Output Fx'!$H$22</f>
        <v>1753.1949984474636</v>
      </c>
      <c r="N3" s="50">
        <f>N8/'Live Output Fx'!$H$22</f>
        <v>1874.8125247487083</v>
      </c>
      <c r="O3" s="50">
        <f>O8/'Live Output Fx'!$H$22</f>
        <v>2005.8179063376106</v>
      </c>
      <c r="P3" s="50">
        <f>P8/'Live Output Fx'!$H$22</f>
        <v>2147.0419804535936</v>
      </c>
      <c r="Q3" s="50">
        <f>Q8/'Live Output Fx'!$H$22</f>
        <v>2299.3912372978107</v>
      </c>
      <c r="S3">
        <v>2030</v>
      </c>
      <c r="T3" s="25">
        <f>Q7+Q8</f>
        <v>41808805.410748921</v>
      </c>
    </row>
    <row r="4" spans="1:20" x14ac:dyDescent="0.35">
      <c r="A4" s="47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T4">
        <f>T3/T2</f>
        <v>1.322821760197888</v>
      </c>
    </row>
    <row r="5" spans="1:20" x14ac:dyDescent="0.35">
      <c r="A5" s="47" t="s">
        <v>23</v>
      </c>
      <c r="B5" s="50">
        <f>B10/'Live Output Fx'!$H$22</f>
        <v>1715.6224189183854</v>
      </c>
      <c r="C5" s="50">
        <f>C10/'Live Output Fx'!$H$22</f>
        <v>1711.0555446887893</v>
      </c>
      <c r="D5" s="50">
        <f>D10/'Live Output Fx'!$H$22</f>
        <v>1706.4886704591927</v>
      </c>
      <c r="E5" s="50">
        <f>E10/'Live Output Fx'!$H$22</f>
        <v>1701.9217962295961</v>
      </c>
      <c r="F5" s="50">
        <f>F10/'Live Output Fx'!$H$22</f>
        <v>1697.354922</v>
      </c>
      <c r="G5" s="50">
        <f>G10/'Live Output Fx'!$H$22</f>
        <v>1681.6869204972011</v>
      </c>
      <c r="H5" s="50">
        <f>H10/'Live Output Fx'!$H$22</f>
        <v>1649.8590426628466</v>
      </c>
      <c r="I5" s="50">
        <f>I10/'Live Output Fx'!$H$22</f>
        <v>1619.0872649630944</v>
      </c>
      <c r="J5" s="50">
        <f>J10/'Live Output Fx'!$H$22</f>
        <v>1589.3841923261346</v>
      </c>
      <c r="K5" s="50">
        <f>K10/'Live Output Fx'!$H$22</f>
        <v>1560.7596910996599</v>
      </c>
      <c r="L5" s="50">
        <f>L10/'Live Output Fx'!$H$22</f>
        <v>1533.2205862829214</v>
      </c>
      <c r="M5" s="50">
        <f>M10/'Live Output Fx'!$H$22</f>
        <v>1505.8804042095815</v>
      </c>
      <c r="N5" s="50">
        <f>N10/'Live Output Fx'!$H$22</f>
        <v>1479.693530855413</v>
      </c>
      <c r="O5" s="50">
        <f>O10/'Live Output Fx'!$H$22</f>
        <v>1454.6519817844555</v>
      </c>
      <c r="P5" s="50">
        <f>P10/'Live Output Fx'!$H$22</f>
        <v>1430.7435776054504</v>
      </c>
      <c r="Q5" s="50">
        <f>Q10/'Live Output Fx'!$H$22</f>
        <v>1407.9518764738903</v>
      </c>
      <c r="S5" t="s">
        <v>251</v>
      </c>
      <c r="T5" s="25">
        <f>SUM(Q7:Q10)</f>
        <v>55888324.175487824</v>
      </c>
    </row>
    <row r="6" spans="1:20" x14ac:dyDescent="0.35">
      <c r="A6" s="47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49"/>
      <c r="N6" s="49"/>
      <c r="O6" s="49"/>
      <c r="P6" s="49"/>
      <c r="Q6" s="50"/>
      <c r="S6" t="s">
        <v>252</v>
      </c>
      <c r="T6">
        <f>'Live Output Fx'!AG13</f>
        <v>53615401.457531773</v>
      </c>
    </row>
    <row r="7" spans="1:20" x14ac:dyDescent="0.35">
      <c r="A7" s="47" t="s">
        <v>25</v>
      </c>
      <c r="B7" s="20">
        <v>18007966.489999998</v>
      </c>
      <c r="C7" s="20">
        <v>18396475.190000001</v>
      </c>
      <c r="D7" s="20">
        <v>18344624.719999999</v>
      </c>
      <c r="E7" s="20">
        <v>18474061.73</v>
      </c>
      <c r="F7" s="20">
        <v>18832942.780000001</v>
      </c>
      <c r="G7" s="50">
        <f t="shared" ref="G7:Q7" si="0">G12*G$105-(G$87*(G12/(SUM(G$12:G$15))))+(G$94*(G12/(SUM(G$12:G$15))))+(G$100*(G12/(SUM(G$12:G$15))))</f>
        <v>18954513.330900293</v>
      </c>
      <c r="H7" s="50">
        <f t="shared" si="0"/>
        <v>18890188.950938389</v>
      </c>
      <c r="I7" s="50">
        <f t="shared" si="0"/>
        <v>18831360.019132789</v>
      </c>
      <c r="J7" s="50">
        <f t="shared" si="0"/>
        <v>18778560.068078648</v>
      </c>
      <c r="K7" s="50">
        <f t="shared" si="0"/>
        <v>18732313.072894018</v>
      </c>
      <c r="L7" s="50">
        <f t="shared" si="0"/>
        <v>18693127.923078276</v>
      </c>
      <c r="M7" s="50">
        <f t="shared" si="0"/>
        <v>18699721.538732145</v>
      </c>
      <c r="N7" s="50">
        <f t="shared" si="0"/>
        <v>18714738.103035599</v>
      </c>
      <c r="O7" s="50">
        <f t="shared" si="0"/>
        <v>18738654.468052346</v>
      </c>
      <c r="P7" s="50">
        <f t="shared" si="0"/>
        <v>18771908.40826435</v>
      </c>
      <c r="Q7" s="50">
        <f t="shared" si="0"/>
        <v>18814893.037770815</v>
      </c>
      <c r="T7" s="96">
        <f>T5/T6</f>
        <v>1.0423930933307739</v>
      </c>
    </row>
    <row r="8" spans="1:20" x14ac:dyDescent="0.35">
      <c r="A8" s="47" t="s">
        <v>26</v>
      </c>
      <c r="B8" s="21">
        <f>ROUND(B7*('Public source data (L)'!B3/'Public source data (L)'!B2),0)</f>
        <v>8144992</v>
      </c>
      <c r="C8" s="21">
        <f>ROUND(C7*('Public source data (L)'!C3/'Public source data (L)'!C2),0)</f>
        <v>8627035</v>
      </c>
      <c r="D8" s="21">
        <f>ROUND(D7*('Public source data (L)'!D3/'Public source data (L)'!D2),0)</f>
        <v>9279034</v>
      </c>
      <c r="E8" s="21">
        <f>ROUND(E7*('Public source data (L)'!E3/'Public source data (L)'!E2),0)</f>
        <v>10088173</v>
      </c>
      <c r="F8" s="21">
        <f>ROUND(F7*('Public source data (L)'!F3/'Public source data (L)'!F2),0)</f>
        <v>11103508</v>
      </c>
      <c r="G8" s="50">
        <f t="shared" ref="G8:Q8" si="1">G13*G$105-(G$87*(G13/(SUM(G$12:G$15))))+(G$94*(G13/(SUM(G$12:G$15))))+(G$100*(G13/(SUM(G$12:G$15))))</f>
        <v>11940806.748045029</v>
      </c>
      <c r="H8" s="50">
        <f t="shared" si="1"/>
        <v>12715584.909702156</v>
      </c>
      <c r="I8" s="50">
        <f t="shared" si="1"/>
        <v>13544430.069140943</v>
      </c>
      <c r="J8" s="50">
        <f t="shared" si="1"/>
        <v>14431794.803514594</v>
      </c>
      <c r="K8" s="50">
        <f t="shared" si="1"/>
        <v>15382554.901422905</v>
      </c>
      <c r="L8" s="50">
        <f t="shared" si="1"/>
        <v>16402047.034027753</v>
      </c>
      <c r="M8" s="50">
        <f t="shared" si="1"/>
        <v>17531949.984474637</v>
      </c>
      <c r="N8" s="50">
        <f t="shared" si="1"/>
        <v>18748125.247487083</v>
      </c>
      <c r="O8" s="50">
        <f t="shared" si="1"/>
        <v>20058179.063376106</v>
      </c>
      <c r="P8" s="50">
        <f t="shared" si="1"/>
        <v>21470419.804535937</v>
      </c>
      <c r="Q8" s="50">
        <f t="shared" si="1"/>
        <v>22993912.372978106</v>
      </c>
      <c r="T8" s="25">
        <f>T5-T6</f>
        <v>2272922.7179560512</v>
      </c>
    </row>
    <row r="9" spans="1:20" x14ac:dyDescent="0.35">
      <c r="A9" s="47" t="s">
        <v>24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T9" s="71">
        <f>T8/'Live Output Fx'!AF13</f>
        <v>214.38187297372323</v>
      </c>
    </row>
    <row r="10" spans="1:20" x14ac:dyDescent="0.35">
      <c r="A10" s="47" t="s">
        <v>23</v>
      </c>
      <c r="B10" s="20">
        <f>$F10*'Public source data (L)'!B8</f>
        <v>17156224.189183854</v>
      </c>
      <c r="C10" s="20">
        <f>$F10*'Public source data (L)'!C8</f>
        <v>17110555.446887892</v>
      </c>
      <c r="D10" s="20">
        <f>$F10*'Public source data (L)'!D8</f>
        <v>17064886.704591926</v>
      </c>
      <c r="E10" s="20">
        <f>$F10*'Public source data (L)'!E8</f>
        <v>17019217.962295961</v>
      </c>
      <c r="F10" s="20">
        <f>('Live Output Fx'!H6*'Live Output Fx'!H22)-F8-F7</f>
        <v>16973549.219999999</v>
      </c>
      <c r="G10" s="50">
        <f t="shared" ref="G10:Q10" si="2">G15*G$105-(G$87*(G15/(SUM(G$12:G$15))))+(G$94*(G15/(SUM(G$12:G$15))))+(G$100*(G15/(SUM(G$12:G$15))))</f>
        <v>16816869.20497201</v>
      </c>
      <c r="H10" s="50">
        <f t="shared" si="2"/>
        <v>16498590.426628467</v>
      </c>
      <c r="I10" s="50">
        <f t="shared" si="2"/>
        <v>16190872.649630945</v>
      </c>
      <c r="J10" s="50">
        <f t="shared" si="2"/>
        <v>15893841.923261346</v>
      </c>
      <c r="K10" s="50">
        <f t="shared" si="2"/>
        <v>15607596.910996599</v>
      </c>
      <c r="L10" s="50">
        <f t="shared" si="2"/>
        <v>15332205.862829214</v>
      </c>
      <c r="M10" s="50">
        <f t="shared" si="2"/>
        <v>15058804.042095814</v>
      </c>
      <c r="N10" s="50">
        <f t="shared" si="2"/>
        <v>14796935.30855413</v>
      </c>
      <c r="O10" s="50">
        <f t="shared" si="2"/>
        <v>14546519.817844555</v>
      </c>
      <c r="P10" s="50">
        <f t="shared" si="2"/>
        <v>14307435.776054503</v>
      </c>
      <c r="Q10" s="50">
        <f t="shared" si="2"/>
        <v>14079518.764738902</v>
      </c>
    </row>
    <row r="11" spans="1:20" x14ac:dyDescent="0.35">
      <c r="A11" s="47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49"/>
      <c r="N11" s="49"/>
      <c r="O11" s="49"/>
      <c r="P11" s="49"/>
      <c r="Q11" s="50"/>
      <c r="T11" s="25">
        <v>49100614.750185914</v>
      </c>
    </row>
    <row r="12" spans="1:20" x14ac:dyDescent="0.35">
      <c r="A12" s="47" t="s">
        <v>25</v>
      </c>
      <c r="B12" s="20">
        <v>18007966.489999998</v>
      </c>
      <c r="C12" s="20">
        <v>18396475.190000001</v>
      </c>
      <c r="D12" s="20">
        <v>18344624.719999999</v>
      </c>
      <c r="E12" s="20">
        <v>18474061.73</v>
      </c>
      <c r="F12" s="20">
        <v>18832942.780000001</v>
      </c>
      <c r="G12" s="50">
        <f t="shared" ref="G12:K13" si="3">F12*((1+(($L12/$F12)^(1/6)-1)))</f>
        <v>18954513.330900293</v>
      </c>
      <c r="H12" s="50">
        <f t="shared" si="3"/>
        <v>19076868.644915879</v>
      </c>
      <c r="I12" s="50">
        <f t="shared" si="3"/>
        <v>19200013.787855402</v>
      </c>
      <c r="J12" s="50">
        <f t="shared" si="3"/>
        <v>19323953.858228344</v>
      </c>
      <c r="K12" s="50">
        <f t="shared" si="3"/>
        <v>19448693.987456128</v>
      </c>
      <c r="L12" s="50">
        <f>F12*((1+((F12/B12)^(1/4)-1))^6)-(L18+L21+L24+L27)</f>
        <v>19574239.34008456</v>
      </c>
      <c r="M12" s="50">
        <f t="shared" ref="M12:P13" si="4">L12*((1+(($Q12/$L12)^(1/5)-1)))</f>
        <v>19739629.545098692</v>
      </c>
      <c r="N12" s="50">
        <f t="shared" si="4"/>
        <v>19906417.194960583</v>
      </c>
      <c r="O12" s="50">
        <f t="shared" si="4"/>
        <v>20074614.097214114</v>
      </c>
      <c r="P12" s="50">
        <f t="shared" si="4"/>
        <v>20244232.159169592</v>
      </c>
      <c r="Q12" s="50">
        <f>F12*((1+((F12/B12)^(1/4)-1))^11)-(Q18+Q21+Q24+Q27)</f>
        <v>20415283.388746727</v>
      </c>
      <c r="T12" s="25">
        <v>51722880.665428825</v>
      </c>
    </row>
    <row r="13" spans="1:20" x14ac:dyDescent="0.35">
      <c r="A13" s="47" t="s">
        <v>26</v>
      </c>
      <c r="B13" s="21">
        <f>ROUND(B7*('Public source data (L)'!B3/'Public source data (L)'!B2),0)</f>
        <v>8144992</v>
      </c>
      <c r="C13" s="21">
        <f>ROUND(C7*('Public source data (L)'!C3/'Public source data (L)'!C2),0)</f>
        <v>8627035</v>
      </c>
      <c r="D13" s="21">
        <f>ROUND(D7*('Public source data (L)'!D3/'Public source data (L)'!D2),0)</f>
        <v>9279034</v>
      </c>
      <c r="E13" s="21">
        <f>ROUND(E7*('Public source data (L)'!E3/'Public source data (L)'!E2),0)</f>
        <v>10088173</v>
      </c>
      <c r="F13" s="21">
        <f>ROUND(F7*('Public source data (L)'!F3/'Public source data (L)'!F2),0)</f>
        <v>11103508</v>
      </c>
      <c r="G13" s="50">
        <f t="shared" si="3"/>
        <v>11940806.748045029</v>
      </c>
      <c r="H13" s="50">
        <f t="shared" si="3"/>
        <v>12841244.928553903</v>
      </c>
      <c r="I13" s="50">
        <f t="shared" si="3"/>
        <v>13809583.790652059</v>
      </c>
      <c r="J13" s="50">
        <f t="shared" si="3"/>
        <v>14850943.622061726</v>
      </c>
      <c r="K13" s="50">
        <f t="shared" si="3"/>
        <v>15970830.823659599</v>
      </c>
      <c r="L13" s="50">
        <f>F8*((1+((F8/B8)^(1/4)-1))^6)-(L19+L22+L25+L28)</f>
        <v>17175167.025685951</v>
      </c>
      <c r="M13" s="50">
        <f t="shared" si="4"/>
        <v>18506917.184831627</v>
      </c>
      <c r="N13" s="50">
        <f t="shared" si="4"/>
        <v>19941930.298202559</v>
      </c>
      <c r="O13" s="50">
        <f t="shared" si="4"/>
        <v>21488213.301365525</v>
      </c>
      <c r="P13" s="50">
        <f t="shared" si="4"/>
        <v>23154393.981940702</v>
      </c>
      <c r="Q13" s="50">
        <f>F8*((1+((F8/B8)^(1/4)-1))^11)-(Q19+Q22+Q25+Q28)</f>
        <v>24949769.120025538</v>
      </c>
      <c r="T13" s="25">
        <f>T12-T11</f>
        <v>2622265.9152429104</v>
      </c>
    </row>
    <row r="14" spans="1:20" x14ac:dyDescent="0.35">
      <c r="A14" s="47" t="s">
        <v>24</v>
      </c>
      <c r="G14" s="47"/>
      <c r="H14" s="47"/>
      <c r="I14" s="47"/>
      <c r="J14" s="47"/>
      <c r="K14" s="47"/>
      <c r="L14" s="50"/>
      <c r="M14" s="47"/>
      <c r="N14" s="47"/>
      <c r="O14" s="47"/>
      <c r="P14" s="47"/>
      <c r="Q14" s="50"/>
      <c r="T14" s="25">
        <v>48164091.209027737</v>
      </c>
    </row>
    <row r="15" spans="1:20" x14ac:dyDescent="0.35">
      <c r="A15" s="47" t="s">
        <v>23</v>
      </c>
      <c r="B15" s="20">
        <f>$F10*'Public source data (L)'!B8</f>
        <v>17156224.189183854</v>
      </c>
      <c r="C15" s="20">
        <f>$F10*'Public source data (L)'!C8</f>
        <v>17110555.446887892</v>
      </c>
      <c r="D15" s="20">
        <f>$F10*'Public source data (L)'!D8</f>
        <v>17064886.704591926</v>
      </c>
      <c r="E15" s="20">
        <f>$F10*'Public source data (L)'!E8</f>
        <v>17019217.962295961</v>
      </c>
      <c r="F15" s="20">
        <f>('Live Output Fx'!H6*'Live Output Fx'!H22)-F8-F7</f>
        <v>16973549.219999999</v>
      </c>
      <c r="G15" s="50">
        <f>F15*((1+(($L15/$F15)^(1/6)-1)))</f>
        <v>16816869.20497201</v>
      </c>
      <c r="H15" s="50">
        <f>G15*((1+(($L15/$F15)^(1/6)-1)))</f>
        <v>16661635.477151899</v>
      </c>
      <c r="I15" s="50">
        <f>H15*((1+(($L15/$F15)^(1/6)-1)))</f>
        <v>16507834.686102552</v>
      </c>
      <c r="J15" s="50">
        <f>I15*((1+(($L15/$F15)^(1/6)-1)))</f>
        <v>16355453.604622524</v>
      </c>
      <c r="K15" s="50">
        <f>J15*((1+(($L15/$F15)^(1/6)-1)))</f>
        <v>16204479.127608469</v>
      </c>
      <c r="L15" s="50">
        <f>F10*'Public source data (L)'!I8-(L20+L23+L26+L29)</f>
        <v>16054898.270928076</v>
      </c>
      <c r="M15" s="50">
        <f>L15*((1+(($Q15/$L15)^(1/5)-1)))</f>
        <v>15896237.415488288</v>
      </c>
      <c r="N15" s="50">
        <f>M15*((1+(($Q15/$L15)^(1/5)-1)))</f>
        <v>15739144.509382347</v>
      </c>
      <c r="O15" s="50">
        <f>N15*((1+(($Q15/$L15)^(1/5)-1)))</f>
        <v>15583604.057514714</v>
      </c>
      <c r="P15" s="50">
        <f>O15*((1+(($Q15/$L15)^(1/5)-1)))</f>
        <v>15429600.717918511</v>
      </c>
      <c r="Q15" s="50">
        <f>F10*'Public source data (L)'!K8-(Q20+Q23+Q26+Q29)</f>
        <v>15277119.300242245</v>
      </c>
      <c r="T15" s="25">
        <f>T12-T14</f>
        <v>3558789.4564010873</v>
      </c>
    </row>
    <row r="16" spans="1:20" x14ac:dyDescent="0.35">
      <c r="A16" s="47"/>
      <c r="B16" s="50"/>
      <c r="C16" s="50"/>
      <c r="D16" s="50"/>
      <c r="E16" s="50"/>
      <c r="F16" s="50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3"/>
      <c r="T16" s="71">
        <f>T15/20</f>
        <v>177939.47282005436</v>
      </c>
    </row>
    <row r="17" spans="1:17" x14ac:dyDescent="0.35">
      <c r="A17" s="47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49"/>
      <c r="N17" s="49"/>
      <c r="O17" s="49"/>
      <c r="P17" s="49"/>
      <c r="Q17" s="50"/>
    </row>
    <row r="18" spans="1:17" x14ac:dyDescent="0.35">
      <c r="A18" t="s">
        <v>137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>
        <f>IF('Live Output Fx'!$D31='Demand Scenarios (L)'!$A35,'Demand Scenarios (L)'!L35,IF('Live Output Fx'!$D31='Demand Scenarios (L)'!$A36,'Demand Scenarios (L)'!L36,IF('Live Output Fx'!$D31='Demand Scenarios (L)'!$A37,'Demand Scenarios (L)'!L37,0)))</f>
        <v>83169.611752243349</v>
      </c>
      <c r="M18" s="26">
        <v>83169.611752243349</v>
      </c>
      <c r="N18" s="26"/>
      <c r="O18" s="26"/>
      <c r="P18" s="26"/>
      <c r="Q18" s="26">
        <f>IF('Live Output Fx'!$D31='Demand Scenarios (L)'!$A35,'Demand Scenarios (L)'!Q35,IF('Live Output Fx'!$D31='Demand Scenarios (L)'!$A36,'Demand Scenarios (L)'!Q36,IF('Live Output Fx'!$D31='Demand Scenarios (L)'!$A37,'Demand Scenarios (L)'!Q37,0)))</f>
        <v>135451.5722566745</v>
      </c>
    </row>
    <row r="19" spans="1:17" x14ac:dyDescent="0.35">
      <c r="A19" s="47" t="s">
        <v>138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>
        <f>IF('Live Output Fx'!$D31='Demand Scenarios (L)'!$A39,'Demand Scenarios (L)'!L39,IF('Live Output Fx'!$D31='Demand Scenarios (L)'!$A40,'Demand Scenarios (L)'!L40,IF('Live Output Fx'!$D31='Demand Scenarios (L)'!$A41,'Demand Scenarios (L)'!L41,0)))</f>
        <v>72976.116644339621</v>
      </c>
      <c r="M19" s="26">
        <v>72976.116644339621</v>
      </c>
      <c r="N19" s="26"/>
      <c r="O19" s="26"/>
      <c r="P19" s="26"/>
      <c r="Q19" s="26">
        <f>IF('Live Output Fx'!$D31='Demand Scenarios (L)'!$A39,'Demand Scenarios (L)'!Q39,IF('Live Output Fx'!$D31='Demand Scenarios (L)'!$A40,'Demand Scenarios (L)'!Q40,IF('Live Output Fx'!$D31='Demand Scenarios (L)'!$A41,'Demand Scenarios (L)'!Q41,0)))</f>
        <v>165537.03372108561</v>
      </c>
    </row>
    <row r="20" spans="1:17" x14ac:dyDescent="0.35">
      <c r="A20" t="s">
        <v>139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>
        <f>IF('Live Output Fx'!$D31='Demand Scenarios (L)'!$A43,'Demand Scenarios (L)'!L43,IF('Live Output Fx'!$D31='Demand Scenarios (L)'!$A44,'Demand Scenarios (L)'!L44,IF('Live Output Fx'!$D31='Demand Scenarios (L)'!$A45,'Demand Scenarios (L)'!L45,0)))</f>
        <v>84822.629253750332</v>
      </c>
      <c r="M20" s="26">
        <v>73101.36375199852</v>
      </c>
      <c r="N20" s="26"/>
      <c r="O20" s="26"/>
      <c r="P20" s="26"/>
      <c r="Q20" s="26">
        <f>IF('Live Output Fx'!$D31='Demand Scenarios (L)'!$A43,'Demand Scenarios (L)'!Q43,IF('Live Output Fx'!$D31='Demand Scenarios (L)'!$A44,'Demand Scenarios (L)'!Q44,IF('Live Output Fx'!$D31='Demand Scenarios (L)'!$A45,'Demand Scenarios (L)'!Q45,0)))</f>
        <v>163505.24088376781</v>
      </c>
    </row>
    <row r="21" spans="1:17" x14ac:dyDescent="0.35">
      <c r="A21" t="s">
        <v>140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>
        <f>IF('Live Output Fx'!$D$32='Demand Scenarios (L)'!$A48,'Demand Scenarios (L)'!L48,IF('Live Output Fx'!$D$32='Demand Scenarios (L)'!$A49,'Demand Scenarios (L)'!L49,IF('Live Output Fx'!$D$32='Demand Scenarios (L)'!$A50,'Demand Scenarios (L)'!L50,0)))</f>
        <v>149545.84280272407</v>
      </c>
      <c r="M21" s="26">
        <v>149545.8428027241</v>
      </c>
      <c r="N21" s="26"/>
      <c r="O21" s="26"/>
      <c r="P21" s="26"/>
      <c r="Q21" s="26">
        <f>IF('Live Output Fx'!$D$32='Demand Scenarios (L)'!$A48,'Demand Scenarios (L)'!Q48,IF('Live Output Fx'!$D$32='Demand Scenarios (L)'!$A49,'Demand Scenarios (L)'!Q49,IF('Live Output Fx'!$D$32='Demand Scenarios (L)'!$A50,'Demand Scenarios (L)'!Q50,0)))</f>
        <v>239981.03004490703</v>
      </c>
    </row>
    <row r="22" spans="1:17" x14ac:dyDescent="0.35">
      <c r="A22" s="47" t="s">
        <v>141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>
        <f>IF('Live Output Fx'!$D$32='Demand Scenarios (L)'!$A52,'Demand Scenarios (L)'!L52,IF('Live Output Fx'!$D$32='Demand Scenarios (L)'!$A53,'Demand Scenarios (L)'!L53,IF('Live Output Fx'!$D$32='Demand Scenarios (L)'!$A54,'Demand Scenarios (L)'!L54,0)))</f>
        <v>131217.09526019645</v>
      </c>
      <c r="M22" s="26">
        <v>131217.09526019648</v>
      </c>
      <c r="N22" s="26"/>
      <c r="O22" s="26"/>
      <c r="P22" s="26"/>
      <c r="Q22" s="26">
        <f>IF('Live Output Fx'!$D$32='Demand Scenarios (L)'!$A52,'Demand Scenarios (L)'!Q52,IF('Live Output Fx'!$D$32='Demand Scenarios (L)'!$A53,'Demand Scenarios (L)'!Q53,IF('Live Output Fx'!$D$32='Demand Scenarios (L)'!$A54,'Demand Scenarios (L)'!Q54,0)))</f>
        <v>293283.77073162474</v>
      </c>
    </row>
    <row r="23" spans="1:17" x14ac:dyDescent="0.35">
      <c r="A23" t="s">
        <v>142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>
        <f>IF('Live Output Fx'!$D$32='Demand Scenarios (L)'!$A56,'Demand Scenarios (L)'!L56,IF('Live Output Fx'!$D$32='Demand Scenarios (L)'!$A57,'Demand Scenarios (L)'!L57,IF('Live Output Fx'!$D$32='Demand Scenarios (L)'!$A58,'Demand Scenarios (L)'!L58,0)))</f>
        <v>210635.91742880244</v>
      </c>
      <c r="M23" s="26">
        <v>181529.06782853621</v>
      </c>
      <c r="N23" s="26"/>
      <c r="O23" s="26"/>
      <c r="P23" s="26"/>
      <c r="Q23" s="26">
        <f>IF('Live Output Fx'!$D$32='Demand Scenarios (L)'!$A56,'Demand Scenarios (L)'!Q56,IF('Live Output Fx'!$D$32='Demand Scenarios (L)'!$A57,'Demand Scenarios (L)'!Q57,IF('Live Output Fx'!$D$32='Demand Scenarios (L)'!$A58,'Demand Scenarios (L)'!Q58,0)))</f>
        <v>400069.61502475711</v>
      </c>
    </row>
    <row r="24" spans="1:17" x14ac:dyDescent="0.35">
      <c r="A24" t="s">
        <v>149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>
        <f>IF('Live Output Fx'!$D$33='Demand Scenarios (L)'!$A61,'Demand Scenarios (L)'!L61,IF('Live Output Fx'!$D$33='Demand Scenarios (L)'!$A62,'Demand Scenarios (L)'!L62,IF('Live Output Fx'!$D$33='Demand Scenarios (L)'!$A63,'Demand Scenarios (L)'!L63,0)))</f>
        <v>45418.82576293184</v>
      </c>
      <c r="M24" s="26">
        <v>45418.825762931854</v>
      </c>
      <c r="N24" s="26"/>
      <c r="O24" s="26"/>
      <c r="P24" s="26"/>
      <c r="Q24" s="26">
        <f>IF('Live Output Fx'!$D$33='Demand Scenarios (L)'!$A61,'Demand Scenarios (L)'!Q61,IF('Live Output Fx'!$D$33='Demand Scenarios (L)'!$A62,'Demand Scenarios (L)'!Q62,IF('Live Output Fx'!$D$33='Demand Scenarios (L)'!$A63,'Demand Scenarios (L)'!Q63,0)))</f>
        <v>66864.698926955389</v>
      </c>
    </row>
    <row r="25" spans="1:17" x14ac:dyDescent="0.35">
      <c r="A25" s="47" t="s">
        <v>150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>
        <f>IF('Live Output Fx'!$D$33='Demand Scenarios (L)'!$A65,'Demand Scenarios (L)'!L65,IF('Live Output Fx'!$D$33='Demand Scenarios (L)'!$A66,'Demand Scenarios (L)'!L66,IF('Live Output Fx'!$D$33='Demand Scenarios (L)'!$A67,'Demand Scenarios (L)'!L67,0)))</f>
        <v>39852.170244563516</v>
      </c>
      <c r="M25" s="26">
        <v>39852.170244563516</v>
      </c>
      <c r="N25" s="26"/>
      <c r="O25" s="26"/>
      <c r="P25" s="26"/>
      <c r="Q25" s="26">
        <f>IF('Live Output Fx'!$D$33='Demand Scenarios (L)'!$A65,'Demand Scenarios (L)'!Q65,IF('Live Output Fx'!$D$33='Demand Scenarios (L)'!$A66,'Demand Scenarios (L)'!Q66,IF('Live Output Fx'!$D$33='Demand Scenarios (L)'!$A67,'Demand Scenarios (L)'!Q67,0)))</f>
        <v>81716.17159265744</v>
      </c>
    </row>
    <row r="26" spans="1:17" x14ac:dyDescent="0.35">
      <c r="A26" t="s">
        <v>151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>
        <f>IF('Live Output Fx'!$D$33='Demand Scenarios (L)'!$A69,'Demand Scenarios (L)'!L69,IF('Live Output Fx'!$D$33='Demand Scenarios (L)'!$A70,'Demand Scenarios (L)'!L70,IF('Live Output Fx'!$D$33='Demand Scenarios (L)'!$A71,'Demand Scenarios (L)'!L71,0)))</f>
        <v>12743.524055157446</v>
      </c>
      <c r="M26" s="26">
        <v>10982.552599867931</v>
      </c>
      <c r="N26" s="26"/>
      <c r="O26" s="26"/>
      <c r="P26" s="26"/>
      <c r="Q26" s="26">
        <f>IF('Live Output Fx'!$D$33='Demand Scenarios (L)'!$A69,'Demand Scenarios (L)'!Q69,IF('Live Output Fx'!$D$33='Demand Scenarios (L)'!$A70,'Demand Scenarios (L)'!Q70,IF('Live Output Fx'!$D$33='Demand Scenarios (L)'!$A71,'Demand Scenarios (L)'!Q71,0)))</f>
        <v>22205.016784798492</v>
      </c>
    </row>
    <row r="27" spans="1:17" x14ac:dyDescent="0.35">
      <c r="A27" t="s">
        <v>247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>
        <f>IF('Live Output Fx'!$D$34='Demand Scenarios (L)'!$A75,'Demand Scenarios (L)'!L75,IF('Live Output Fx'!$D$34='Demand Scenarios (L)'!$A76,'Demand Scenarios (L)'!L76,IF('Live Output Fx'!$D$34='Demand Scenarios (L)'!$A77,'Demand Scenarios (L)'!L77,0)))</f>
        <v>289434.59724434587</v>
      </c>
      <c r="M27" s="26">
        <v>289434.59724434587</v>
      </c>
      <c r="N27" s="26"/>
      <c r="O27" s="26"/>
      <c r="P27" s="26"/>
      <c r="Q27" s="26">
        <f>IF('Live Output Fx'!$D$34='Demand Scenarios (L)'!$A75,'Demand Scenarios (L)'!Q75,IF('Live Output Fx'!$D$34='Demand Scenarios (L)'!$A76,'Demand Scenarios (L)'!Q76,IF('Live Output Fx'!$D$34='Demand Scenarios (L)'!$A77,'Demand Scenarios (L)'!Q77,0)))</f>
        <v>444172.46592537663</v>
      </c>
    </row>
    <row r="28" spans="1:17" x14ac:dyDescent="0.35">
      <c r="A28" s="47" t="s">
        <v>248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>
        <f>IF('Live Output Fx'!$D$34='Demand Scenarios (L)'!$A79,'Demand Scenarios (L)'!L79,IF('Live Output Fx'!$D$34='Demand Scenarios (L)'!$A80,'Demand Scenarios (L)'!L80,IF('Live Output Fx'!$D$34='Demand Scenarios (L)'!$A81,'Demand Scenarios (L)'!L81,0)))</f>
        <v>253960.70132359519</v>
      </c>
      <c r="M28" s="26">
        <v>253960.70132359519</v>
      </c>
      <c r="N28" s="26"/>
      <c r="O28" s="26"/>
      <c r="P28" s="26"/>
      <c r="Q28" s="26">
        <f>IF('Live Output Fx'!$D$34='Demand Scenarios (L)'!$A79,'Demand Scenarios (L)'!Q79,IF('Live Output Fx'!$D$34='Demand Scenarios (L)'!$A80,'Demand Scenarios (L)'!Q80,IF('Live Output Fx'!$D$34='Demand Scenarios (L)'!$A81,'Demand Scenarios (L)'!Q81,0)))</f>
        <v>542828.63790267822</v>
      </c>
    </row>
    <row r="29" spans="1:17" x14ac:dyDescent="0.35">
      <c r="A29" t="s">
        <v>249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>
        <f>IF('Live Output Fx'!$D$34='Demand Scenarios (L)'!$A83,'Demand Scenarios (L)'!L83,IF('Live Output Fx'!$D$34='Demand Scenarios (L)'!$A84,'Demand Scenarios (L)'!L84,IF('Live Output Fx'!$D$34='Demand Scenarios (L)'!$A85,'Demand Scenarios (L)'!L85,0)))</f>
        <v>351659.33865708089</v>
      </c>
      <c r="M29" s="26">
        <v>303065.08367072255</v>
      </c>
      <c r="N29" s="26"/>
      <c r="O29" s="26"/>
      <c r="P29" s="26"/>
      <c r="Q29" s="26">
        <f>IF('Live Output Fx'!$D$34='Demand Scenarios (L)'!$A83,'Demand Scenarios (L)'!Q83,IF('Live Output Fx'!$D$34='Demand Scenarios (L)'!$A84,'Demand Scenarios (L)'!Q84,IF('Live Output Fx'!$D$34='Demand Scenarios (L)'!$A85,'Demand Scenarios (L)'!Q85,0)))</f>
        <v>638739.71000613272</v>
      </c>
    </row>
    <row r="31" spans="1:17" x14ac:dyDescent="0.35">
      <c r="B31">
        <v>2015</v>
      </c>
      <c r="C31">
        <v>2016</v>
      </c>
      <c r="D31">
        <v>2017</v>
      </c>
      <c r="E31">
        <v>2018</v>
      </c>
      <c r="F31">
        <v>2019</v>
      </c>
      <c r="G31">
        <v>2020</v>
      </c>
      <c r="H31">
        <v>2021</v>
      </c>
      <c r="I31">
        <v>2022</v>
      </c>
      <c r="J31">
        <v>2023</v>
      </c>
      <c r="K31">
        <v>2024</v>
      </c>
      <c r="L31">
        <v>2025</v>
      </c>
      <c r="M31">
        <v>2026</v>
      </c>
      <c r="N31">
        <v>2027</v>
      </c>
      <c r="O31">
        <v>2028</v>
      </c>
      <c r="P31">
        <v>2029</v>
      </c>
      <c r="Q31">
        <v>2030</v>
      </c>
    </row>
    <row r="32" spans="1:17" x14ac:dyDescent="0.35">
      <c r="A32" t="s">
        <v>135</v>
      </c>
      <c r="L32" s="79">
        <f>'Live Output Fx'!H15*((1+'Live Output Fx'!J15)^6)/('Live Output Fx'!H16*((1+'Live Output Fx'!J16)^6)+'Live Output Fx'!H15*((1+'Live Output Fx'!J15)^6))</f>
        <v>0.53264096691141627</v>
      </c>
      <c r="Q32" s="79">
        <f>'Live Output Fx'!H15*((1+'Live Output Fx'!J15)^11)/('Live Output Fx'!H16*((1+'Live Output Fx'!J16)^11)+'Live Output Fx'!H15*((1+'Live Output Fx'!J15)^11))</f>
        <v>0.45002225853919187</v>
      </c>
    </row>
    <row r="33" spans="1:17" x14ac:dyDescent="0.35">
      <c r="L33" s="71"/>
    </row>
    <row r="34" spans="1:17" x14ac:dyDescent="0.35">
      <c r="A34" t="s">
        <v>131</v>
      </c>
    </row>
    <row r="35" spans="1:17" x14ac:dyDescent="0.35">
      <c r="A35" t="s">
        <v>114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>
        <f>'77427 data (L)'!F34*('77427 data (L)'!$C34/'77427 data (L)'!$D34)*L$32</f>
        <v>55940.464564571492</v>
      </c>
      <c r="M35" s="26"/>
      <c r="N35" s="26"/>
      <c r="O35" s="26"/>
      <c r="P35" s="26"/>
      <c r="Q35" s="26">
        <f>'77427 data (L)'!I34*('77427 data (L)'!$C34/'77427 data (L)'!$D34)*Q$32</f>
        <v>89440.382443217779</v>
      </c>
    </row>
    <row r="36" spans="1:17" x14ac:dyDescent="0.35">
      <c r="A36" t="s">
        <v>115</v>
      </c>
      <c r="B36" s="32"/>
      <c r="C36" s="32"/>
      <c r="D36" s="32"/>
      <c r="E36" s="32"/>
      <c r="F36" s="26"/>
      <c r="G36" s="32"/>
      <c r="H36" s="32"/>
      <c r="I36" s="32"/>
      <c r="J36" s="32"/>
      <c r="K36" s="32"/>
      <c r="L36" s="32">
        <f>'77427 data (L)'!G34*('77427 data (L)'!$C34/'77427 data (L)'!$D34)*L$32</f>
        <v>69555.038158407391</v>
      </c>
      <c r="M36" s="32"/>
      <c r="N36" s="32"/>
      <c r="O36" s="32"/>
      <c r="P36" s="32"/>
      <c r="Q36" s="32">
        <f>'77427 data (L)'!J34*('77427 data (L)'!$C34/'77427 data (L)'!$D34)*Q$32</f>
        <v>112445.97734994612</v>
      </c>
    </row>
    <row r="37" spans="1:17" x14ac:dyDescent="0.35">
      <c r="A37" t="s">
        <v>116</v>
      </c>
      <c r="B37" s="32"/>
      <c r="C37" s="32"/>
      <c r="D37" s="32"/>
      <c r="E37" s="32"/>
      <c r="F37" s="26"/>
      <c r="G37" s="32"/>
      <c r="H37" s="32"/>
      <c r="I37" s="32"/>
      <c r="J37" s="32"/>
      <c r="K37" s="32"/>
      <c r="L37" s="32">
        <f>'77427 data (L)'!H34*('77427 data (L)'!$C34/'77427 data (L)'!$D34)*L$32</f>
        <v>83169.611752243349</v>
      </c>
      <c r="M37" s="32"/>
      <c r="N37" s="32"/>
      <c r="O37" s="32"/>
      <c r="P37" s="32"/>
      <c r="Q37" s="32">
        <f>'77427 data (L)'!K34*('77427 data (L)'!$C34/'77427 data (L)'!$D34)*Q$32</f>
        <v>135451.5722566745</v>
      </c>
    </row>
    <row r="38" spans="1:17" x14ac:dyDescent="0.35">
      <c r="A38" t="s">
        <v>132</v>
      </c>
      <c r="F38" s="26"/>
    </row>
    <row r="39" spans="1:17" x14ac:dyDescent="0.35">
      <c r="A39" t="s">
        <v>114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>
        <f>'77427 data (L)'!F34*('77427 data (L)'!$C34/'77427 data (L)'!$D34)*(1-L$32)</f>
        <v>49084.248215125335</v>
      </c>
      <c r="M39" s="26"/>
      <c r="N39" s="26"/>
      <c r="O39" s="26"/>
      <c r="P39" s="26"/>
      <c r="Q39" s="32">
        <f>'77427 data (L)'!I34*('77427 data (L)'!$C34/'77427 data (L)'!$D34)*(1-Q$32)</f>
        <v>109306.19230077021</v>
      </c>
    </row>
    <row r="40" spans="1:17" x14ac:dyDescent="0.35">
      <c r="A40" t="s">
        <v>115</v>
      </c>
      <c r="B40" s="32"/>
      <c r="C40" s="32"/>
      <c r="D40" s="32"/>
      <c r="E40" s="32"/>
      <c r="F40" s="26"/>
      <c r="G40" s="32"/>
      <c r="H40" s="32"/>
      <c r="I40" s="32"/>
      <c r="J40" s="32"/>
      <c r="K40" s="32"/>
      <c r="L40" s="32">
        <f>'77427 data (L)'!G34*('77427 data (L)'!$C34/'77427 data (L)'!$D34)*(1-L$32)</f>
        <v>61030.182429732457</v>
      </c>
      <c r="M40" s="32"/>
      <c r="N40" s="32"/>
      <c r="O40" s="32"/>
      <c r="P40" s="32"/>
      <c r="Q40" s="32">
        <f>'77427 data (L)'!J34*('77427 data (L)'!$C34/'77427 data (L)'!$D34)*(1-Q$32)</f>
        <v>137421.61301092786</v>
      </c>
    </row>
    <row r="41" spans="1:17" x14ac:dyDescent="0.35">
      <c r="A41" t="s">
        <v>116</v>
      </c>
      <c r="B41" s="32"/>
      <c r="C41" s="32"/>
      <c r="D41" s="32"/>
      <c r="E41" s="32"/>
      <c r="F41" s="26"/>
      <c r="G41" s="32"/>
      <c r="H41" s="32"/>
      <c r="I41" s="32"/>
      <c r="J41" s="32"/>
      <c r="K41" s="32"/>
      <c r="L41" s="32">
        <f>'77427 data (L)'!H34*('77427 data (L)'!$C34/'77427 data (L)'!$D34)*(1-L$32)</f>
        <v>72976.116644339621</v>
      </c>
      <c r="M41" s="32"/>
      <c r="N41" s="32"/>
      <c r="O41" s="32"/>
      <c r="P41" s="32"/>
      <c r="Q41" s="32">
        <f>'77427 data (L)'!K34*('77427 data (L)'!$C34/'77427 data (L)'!$D34)*(1-Q$32)</f>
        <v>165537.03372108561</v>
      </c>
    </row>
    <row r="42" spans="1:17" x14ac:dyDescent="0.35">
      <c r="A42" t="s">
        <v>136</v>
      </c>
      <c r="F42" s="26"/>
    </row>
    <row r="43" spans="1:17" x14ac:dyDescent="0.35">
      <c r="A43" t="s">
        <v>114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>
        <f>'77427 data (L)'!F34*(   ('77427 data (L)'!$D34 -  '77427 data (L)'!$C34)     /'77427 data (L)'!$D34)</f>
        <v>57052.295737273504</v>
      </c>
      <c r="M43" s="26"/>
      <c r="N43" s="26"/>
      <c r="O43" s="26"/>
      <c r="P43" s="26"/>
      <c r="Q43" s="26">
        <f>'77427 data (L)'!I34*(   ('77427 data (L)'!$D34 -  '77427 data (L)'!$C34)     /'77427 data (L)'!$D34)</f>
        <v>107964.57385081428</v>
      </c>
    </row>
    <row r="44" spans="1:17" x14ac:dyDescent="0.35">
      <c r="A44" t="s">
        <v>115</v>
      </c>
      <c r="B44" s="32"/>
      <c r="C44" s="32"/>
      <c r="D44" s="32"/>
      <c r="E44" s="32"/>
      <c r="F44" s="26"/>
      <c r="G44" s="32"/>
      <c r="H44" s="32"/>
      <c r="I44" s="32"/>
      <c r="J44" s="32"/>
      <c r="K44" s="32"/>
      <c r="L44" s="32">
        <f>'77427 data (L)'!G34*(   ('77427 data (L)'!$D34 -  '77427 data (L)'!$C34)     /'77427 data (L)'!$D34)</f>
        <v>70937.462495511892</v>
      </c>
      <c r="M44" s="32"/>
      <c r="N44" s="32"/>
      <c r="O44" s="32"/>
      <c r="P44" s="32"/>
      <c r="Q44" s="32">
        <f>'77427 data (L)'!J34*(   ('77427 data (L)'!$D34 -  '77427 data (L)'!$C34)     /'77427 data (L)'!$D34)</f>
        <v>135734.90736729102</v>
      </c>
    </row>
    <row r="45" spans="1:17" x14ac:dyDescent="0.35">
      <c r="A45" t="s">
        <v>116</v>
      </c>
      <c r="B45" s="32"/>
      <c r="C45" s="32"/>
      <c r="D45" s="32"/>
      <c r="E45" s="32"/>
      <c r="F45" s="26"/>
      <c r="G45" s="32"/>
      <c r="H45" s="32"/>
      <c r="I45" s="32"/>
      <c r="J45" s="32"/>
      <c r="K45" s="32"/>
      <c r="L45" s="32">
        <f>'77427 data (L)'!H34*(   ('77427 data (L)'!$D34 -  '77427 data (L)'!$C34)     /'77427 data (L)'!$D34)</f>
        <v>84822.629253750332</v>
      </c>
      <c r="M45" s="32"/>
      <c r="N45" s="32"/>
      <c r="O45" s="32"/>
      <c r="P45" s="32"/>
      <c r="Q45" s="32">
        <f>'77427 data (L)'!K34*(   ('77427 data (L)'!$D34 -  '77427 data (L)'!$C34)     /'77427 data (L)'!$D34)</f>
        <v>163505.24088376781</v>
      </c>
    </row>
    <row r="46" spans="1:17" x14ac:dyDescent="0.35">
      <c r="L46" s="71"/>
    </row>
    <row r="47" spans="1:17" x14ac:dyDescent="0.35">
      <c r="A47" t="s">
        <v>143</v>
      </c>
    </row>
    <row r="48" spans="1:17" x14ac:dyDescent="0.35">
      <c r="A48" t="s">
        <v>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>
        <f>'77427 data (L)'!F36*('77427 data (L)'!$C36/'77427 data (L)'!$D36)*L$32</f>
        <v>53753.224353499238</v>
      </c>
      <c r="M48" s="26"/>
      <c r="N48" s="26"/>
      <c r="O48" s="26"/>
      <c r="P48" s="26"/>
      <c r="Q48" s="26">
        <f>'77427 data (L)'!I36*('77427 data (L)'!$C36/'77427 data (L)'!$D36)*Q$32</f>
        <v>78112.85548118579</v>
      </c>
    </row>
    <row r="49" spans="1:17" x14ac:dyDescent="0.35">
      <c r="A49" t="s">
        <v>115</v>
      </c>
      <c r="B49" s="32"/>
      <c r="C49" s="32"/>
      <c r="D49" s="32"/>
      <c r="E49" s="32"/>
      <c r="F49" s="26"/>
      <c r="G49" s="32"/>
      <c r="H49" s="32"/>
      <c r="I49" s="32"/>
      <c r="J49" s="32"/>
      <c r="K49" s="32"/>
      <c r="L49" s="32">
        <f>'77427 data (L)'!G36*('77427 data (L)'!$C36/'77427 data (L)'!$D36)*L$32</f>
        <v>101649.53357811156</v>
      </c>
      <c r="M49" s="32"/>
      <c r="N49" s="32"/>
      <c r="O49" s="32"/>
      <c r="P49" s="32"/>
      <c r="Q49" s="32">
        <f>'77427 data (L)'!J36*('77427 data (L)'!$C36/'77427 data (L)'!$D36)*Q$32</f>
        <v>159046.94276304639</v>
      </c>
    </row>
    <row r="50" spans="1:17" x14ac:dyDescent="0.35">
      <c r="A50" t="s">
        <v>116</v>
      </c>
      <c r="B50" s="32"/>
      <c r="C50" s="32"/>
      <c r="D50" s="32"/>
      <c r="E50" s="32"/>
      <c r="F50" s="26"/>
      <c r="G50" s="32"/>
      <c r="H50" s="32"/>
      <c r="I50" s="32"/>
      <c r="J50" s="32"/>
      <c r="K50" s="32"/>
      <c r="L50" s="32">
        <f>'77427 data (L)'!H36*('77427 data (L)'!$C36/'77427 data (L)'!$D36)*L$32</f>
        <v>149545.84280272407</v>
      </c>
      <c r="M50" s="32"/>
      <c r="N50" s="32"/>
      <c r="O50" s="32"/>
      <c r="P50" s="32"/>
      <c r="Q50" s="32">
        <f>'77427 data (L)'!K36*('77427 data (L)'!$C36/'77427 data (L)'!$D36)*Q$32</f>
        <v>239981.03004490703</v>
      </c>
    </row>
    <row r="51" spans="1:17" x14ac:dyDescent="0.35">
      <c r="A51" t="s">
        <v>144</v>
      </c>
      <c r="F51" s="26"/>
    </row>
    <row r="52" spans="1:17" x14ac:dyDescent="0.35">
      <c r="A52" t="s">
        <v>114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>
        <f>'77427 data (L)'!F36*('77427 data (L)'!$C36/'77427 data (L)'!$D36)*(1-L$32)</f>
        <v>47165.08214702001</v>
      </c>
      <c r="M52" s="26"/>
      <c r="N52" s="26"/>
      <c r="O52" s="26"/>
      <c r="P52" s="26"/>
      <c r="Q52" s="32">
        <f>'77427 data (L)'!I36*('77427 data (L)'!$C36/'77427 data (L)'!$D36)*(1-Q$32)</f>
        <v>95462.682170543572</v>
      </c>
    </row>
    <row r="53" spans="1:17" x14ac:dyDescent="0.35">
      <c r="A53" t="s">
        <v>115</v>
      </c>
      <c r="B53" s="32"/>
      <c r="C53" s="32"/>
      <c r="D53" s="32"/>
      <c r="E53" s="32"/>
      <c r="F53" s="26"/>
      <c r="G53" s="32"/>
      <c r="H53" s="32"/>
      <c r="I53" s="32"/>
      <c r="J53" s="32"/>
      <c r="K53" s="32"/>
      <c r="L53" s="32">
        <f>'77427 data (L)'!G36*('77427 data (L)'!$C36/'77427 data (L)'!$D36)*(1-L$32)</f>
        <v>89191.08870360814</v>
      </c>
      <c r="M53" s="32"/>
      <c r="N53" s="32"/>
      <c r="O53" s="32"/>
      <c r="P53" s="32"/>
      <c r="Q53" s="32">
        <f>'77427 data (L)'!J36*('77427 data (L)'!$C36/'77427 data (L)'!$D36)*(1-Q$32)</f>
        <v>194373.22645108416</v>
      </c>
    </row>
    <row r="54" spans="1:17" x14ac:dyDescent="0.35">
      <c r="A54" t="s">
        <v>116</v>
      </c>
      <c r="B54" s="32"/>
      <c r="C54" s="32"/>
      <c r="D54" s="32"/>
      <c r="E54" s="32"/>
      <c r="F54" s="26"/>
      <c r="G54" s="32"/>
      <c r="H54" s="32"/>
      <c r="I54" s="32"/>
      <c r="J54" s="32"/>
      <c r="K54" s="32"/>
      <c r="L54" s="32">
        <f>'77427 data (L)'!H36*('77427 data (L)'!$C36/'77427 data (L)'!$D36)*(1-L$32)</f>
        <v>131217.09526019645</v>
      </c>
      <c r="M54" s="32"/>
      <c r="N54" s="32"/>
      <c r="O54" s="32"/>
      <c r="P54" s="32"/>
      <c r="Q54" s="32">
        <f>'77427 data (L)'!K36*('77427 data (L)'!$C36/'77427 data (L)'!$D36)*(1-Q$32)</f>
        <v>293283.77073162474</v>
      </c>
    </row>
    <row r="55" spans="1:17" x14ac:dyDescent="0.35">
      <c r="A55" t="s">
        <v>145</v>
      </c>
      <c r="F55" s="26"/>
    </row>
    <row r="56" spans="1:17" x14ac:dyDescent="0.35">
      <c r="A56" t="s">
        <v>114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>
        <f>'77427 data (L)'!F36*(   ('77427 data (L)'!$D36 -  '77427 data (L)'!$C36)     /'77427 data (L)'!$D36)</f>
        <v>75711.631391797622</v>
      </c>
      <c r="M56" s="26"/>
      <c r="N56" s="26"/>
      <c r="O56" s="26"/>
      <c r="P56" s="26"/>
      <c r="Q56" s="26">
        <f>'77427 data (L)'!I$36*(   ('77427 data (L)'!$D$36 -  '77427 data (L)'!$C$36)     /'77427 data (L)'!$D$36)</f>
        <v>130221.04295074758</v>
      </c>
    </row>
    <row r="57" spans="1:17" x14ac:dyDescent="0.35">
      <c r="A57" t="s">
        <v>115</v>
      </c>
      <c r="B57" s="32"/>
      <c r="C57" s="32"/>
      <c r="D57" s="32"/>
      <c r="E57" s="32"/>
      <c r="F57" s="26"/>
      <c r="G57" s="32"/>
      <c r="H57" s="32"/>
      <c r="I57" s="32"/>
      <c r="J57" s="32"/>
      <c r="K57" s="32"/>
      <c r="L57" s="32">
        <f>'77427 data (L)'!G36*(   ('77427 data (L)'!$D36 -  '77427 data (L)'!$C36)     /'77427 data (L)'!$D36)</f>
        <v>143173.7744102999</v>
      </c>
      <c r="M57" s="32"/>
      <c r="N57" s="32"/>
      <c r="O57" s="32"/>
      <c r="P57" s="32"/>
      <c r="Q57" s="26">
        <f>'77427 data (L)'!J$36*(   ('77427 data (L)'!$D$36 -  '77427 data (L)'!$C$36)     /'77427 data (L)'!$D$36)</f>
        <v>265145.32898775226</v>
      </c>
    </row>
    <row r="58" spans="1:17" x14ac:dyDescent="0.35">
      <c r="A58" t="s">
        <v>116</v>
      </c>
      <c r="B58" s="32"/>
      <c r="C58" s="32"/>
      <c r="D58" s="32"/>
      <c r="E58" s="32"/>
      <c r="F58" s="26"/>
      <c r="G58" s="32"/>
      <c r="H58" s="32"/>
      <c r="I58" s="32"/>
      <c r="J58" s="32"/>
      <c r="K58" s="32"/>
      <c r="L58" s="32">
        <f>'77427 data (L)'!H36*(   ('77427 data (L)'!$D36 -  '77427 data (L)'!$C36)     /'77427 data (L)'!$D36)</f>
        <v>210635.91742880244</v>
      </c>
      <c r="M58" s="32"/>
      <c r="N58" s="32"/>
      <c r="O58" s="32"/>
      <c r="P58" s="32"/>
      <c r="Q58" s="26">
        <f>'77427 data (L)'!K$36*(   ('77427 data (L)'!$D$36 -  '77427 data (L)'!$C$36)     /'77427 data (L)'!$D$36)</f>
        <v>400069.61502475711</v>
      </c>
    </row>
    <row r="59" spans="1:17" x14ac:dyDescent="0.35">
      <c r="L59" s="71"/>
    </row>
    <row r="60" spans="1:17" x14ac:dyDescent="0.35">
      <c r="A60" t="s">
        <v>146</v>
      </c>
    </row>
    <row r="61" spans="1:17" x14ac:dyDescent="0.35">
      <c r="A61" t="s">
        <v>114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>
        <f>'77427 data (L)'!F$37*('77427 data (L)'!$C$37/'77427 data (L)'!$D$37)*$L$32</f>
        <v>28861.657460882096</v>
      </c>
      <c r="N61" s="26"/>
      <c r="O61" s="26"/>
      <c r="P61" s="26"/>
      <c r="Q61" s="26">
        <f>'77427 data (L)'!I$37*('77427 data (L)'!$C$37/'77427 data (L)'!$D$37)*$Q$32</f>
        <v>38886.77481981046</v>
      </c>
    </row>
    <row r="62" spans="1:17" x14ac:dyDescent="0.35">
      <c r="A62" t="s">
        <v>115</v>
      </c>
      <c r="B62" s="32"/>
      <c r="C62" s="32"/>
      <c r="D62" s="32"/>
      <c r="E62" s="32"/>
      <c r="F62" s="26"/>
      <c r="G62" s="32"/>
      <c r="H62" s="32"/>
      <c r="I62" s="32"/>
      <c r="J62" s="32"/>
      <c r="K62" s="32"/>
      <c r="L62" s="26">
        <f>'77427 data (L)'!G$37*('77427 data (L)'!$C$37/'77427 data (L)'!$D$37)*$L$32</f>
        <v>37140.24161190696</v>
      </c>
      <c r="N62" s="32"/>
      <c r="O62" s="32"/>
      <c r="P62" s="32"/>
      <c r="Q62" s="26">
        <f>'77427 data (L)'!J$37*('77427 data (L)'!$C$37/'77427 data (L)'!$D$37)*$Q$32</f>
        <v>52875.736873382928</v>
      </c>
    </row>
    <row r="63" spans="1:17" x14ac:dyDescent="0.35">
      <c r="A63" t="s">
        <v>116</v>
      </c>
      <c r="B63" s="32"/>
      <c r="C63" s="32"/>
      <c r="D63" s="32"/>
      <c r="E63" s="32"/>
      <c r="F63" s="26"/>
      <c r="G63" s="32"/>
      <c r="H63" s="32"/>
      <c r="I63" s="32"/>
      <c r="J63" s="32"/>
      <c r="K63" s="32"/>
      <c r="L63" s="26">
        <f>'77427 data (L)'!H$37*('77427 data (L)'!$C$37/'77427 data (L)'!$D$37)*$L$32</f>
        <v>45418.82576293184</v>
      </c>
      <c r="N63" s="32"/>
      <c r="O63" s="32"/>
      <c r="P63" s="32"/>
      <c r="Q63" s="26">
        <f>'77427 data (L)'!K$37*('77427 data (L)'!$C$37/'77427 data (L)'!$D$37)*$Q$32</f>
        <v>66864.698926955389</v>
      </c>
    </row>
    <row r="64" spans="1:17" x14ac:dyDescent="0.35">
      <c r="A64" t="s">
        <v>147</v>
      </c>
      <c r="F64" s="26"/>
    </row>
    <row r="65" spans="1:18" x14ac:dyDescent="0.35">
      <c r="A65" t="s">
        <v>114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>
        <f>'77427 data (L)'!F$37*('77427 data (L)'!$C$37/'77427 data (L)'!$D$37)*(1-$L$32)</f>
        <v>25324.293777979503</v>
      </c>
      <c r="N65" s="26"/>
      <c r="O65" s="26"/>
      <c r="P65" s="26"/>
      <c r="Q65" s="26">
        <f>'77427 data (L)'!I$37*('77427 data (L)'!$C$37/'77427 data (L)'!$D$37)*(1-$Q$32)</f>
        <v>47524.006162534795</v>
      </c>
    </row>
    <row r="66" spans="1:18" x14ac:dyDescent="0.35">
      <c r="A66" t="s">
        <v>115</v>
      </c>
      <c r="B66" s="32"/>
      <c r="C66" s="32"/>
      <c r="D66" s="32"/>
      <c r="E66" s="32"/>
      <c r="F66" s="26"/>
      <c r="G66" s="32"/>
      <c r="H66" s="32"/>
      <c r="I66" s="32"/>
      <c r="J66" s="32"/>
      <c r="K66" s="32"/>
      <c r="L66" s="26">
        <f>'77427 data (L)'!G$37*('77427 data (L)'!$C$37/'77427 data (L)'!$D$37)*(1-$L$32)</f>
        <v>32588.232011271502</v>
      </c>
      <c r="N66" s="32"/>
      <c r="O66" s="32"/>
      <c r="P66" s="32"/>
      <c r="Q66" s="26">
        <f>'77427 data (L)'!J$37*('77427 data (L)'!$C$37/'77427 data (L)'!$D$37)*(1-$Q$32)</f>
        <v>64620.088877596114</v>
      </c>
    </row>
    <row r="67" spans="1:18" x14ac:dyDescent="0.35">
      <c r="A67" t="s">
        <v>116</v>
      </c>
      <c r="B67" s="32"/>
      <c r="C67" s="32"/>
      <c r="D67" s="32"/>
      <c r="E67" s="32"/>
      <c r="F67" s="26"/>
      <c r="G67" s="32"/>
      <c r="H67" s="32"/>
      <c r="I67" s="32"/>
      <c r="J67" s="32"/>
      <c r="K67" s="32"/>
      <c r="L67" s="26">
        <f>'77427 data (L)'!H$37*('77427 data (L)'!$C$37/'77427 data (L)'!$D$37)*(1-$L$32)</f>
        <v>39852.170244563516</v>
      </c>
      <c r="N67" s="32"/>
      <c r="O67" s="32"/>
      <c r="P67" s="32"/>
      <c r="Q67" s="26">
        <f>'77427 data (L)'!K$37*('77427 data (L)'!$C$37/'77427 data (L)'!$D$37)*(1-$Q$32)</f>
        <v>81716.17159265744</v>
      </c>
    </row>
    <row r="68" spans="1:18" x14ac:dyDescent="0.35">
      <c r="A68" t="s">
        <v>148</v>
      </c>
      <c r="F68" s="26"/>
    </row>
    <row r="69" spans="1:18" x14ac:dyDescent="0.35">
      <c r="A69" t="s">
        <v>114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>
        <f>'77427 data (L)'!F$37*(   ('77427 data (L)'!$D$37 -  '77427 data (L)'!$C$37)     /'77427 data (L)'!$D$37)</f>
        <v>8097.9466101618436</v>
      </c>
      <c r="N69" s="26"/>
      <c r="O69" s="26"/>
      <c r="P69" s="26"/>
      <c r="Q69" s="26">
        <f>'77427 data (L)'!I$37*(   ('77427 data (L)'!$D$37 -  '77427 data (L)'!$C$37)     /'77427 data (L)'!$D$37)</f>
        <v>12913.861894807282</v>
      </c>
    </row>
    <row r="70" spans="1:18" x14ac:dyDescent="0.35">
      <c r="A70" t="s">
        <v>115</v>
      </c>
      <c r="B70" s="32"/>
      <c r="C70" s="32"/>
      <c r="D70" s="32"/>
      <c r="E70" s="32"/>
      <c r="F70" s="26"/>
      <c r="G70" s="32"/>
      <c r="H70" s="32"/>
      <c r="I70" s="32"/>
      <c r="J70" s="32"/>
      <c r="K70" s="32"/>
      <c r="L70" s="26">
        <f>'77427 data (L)'!G$37*(   ('77427 data (L)'!$D$37 -  '77427 data (L)'!$C$37)     /'77427 data (L)'!$D$37)</f>
        <v>10420.735332659642</v>
      </c>
      <c r="N70" s="32"/>
      <c r="O70" s="32"/>
      <c r="P70" s="32"/>
      <c r="Q70" s="26">
        <f>'77427 data (L)'!J$37*(   ('77427 data (L)'!$D$37 -  '77427 data (L)'!$C$37)     /'77427 data (L)'!$D$37)</f>
        <v>17559.439339802888</v>
      </c>
    </row>
    <row r="71" spans="1:18" x14ac:dyDescent="0.35">
      <c r="A71" t="s">
        <v>116</v>
      </c>
      <c r="B71" s="32"/>
      <c r="C71" s="32"/>
      <c r="D71" s="32"/>
      <c r="E71" s="32"/>
      <c r="F71" s="26"/>
      <c r="G71" s="32"/>
      <c r="H71" s="32"/>
      <c r="I71" s="32"/>
      <c r="J71" s="32"/>
      <c r="K71" s="32"/>
      <c r="L71" s="26">
        <f>'77427 data (L)'!H$37*(   ('77427 data (L)'!$D$37 -  '77427 data (L)'!$C$37)     /'77427 data (L)'!$D$37)</f>
        <v>12743.524055157446</v>
      </c>
      <c r="N71" s="32"/>
      <c r="O71" s="32"/>
      <c r="P71" s="32"/>
      <c r="Q71" s="26">
        <f>'77427 data (L)'!K$37*(   ('77427 data (L)'!$D$37 -  '77427 data (L)'!$C$37)     /'77427 data (L)'!$D$37)</f>
        <v>22205.016784798492</v>
      </c>
    </row>
    <row r="72" spans="1:18" x14ac:dyDescent="0.35">
      <c r="B72" s="32"/>
      <c r="C72" s="32"/>
      <c r="D72" s="32"/>
      <c r="E72" s="32"/>
      <c r="F72" s="26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8" x14ac:dyDescent="0.35">
      <c r="L73" s="71"/>
    </row>
    <row r="74" spans="1:18" x14ac:dyDescent="0.35">
      <c r="A74" t="s">
        <v>157</v>
      </c>
    </row>
    <row r="75" spans="1:18" x14ac:dyDescent="0.35">
      <c r="A75" t="s">
        <v>114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>
        <f>'77427 data (L)'!F$38*('77427 data (L)'!$C$38/'77427 data (L)'!$D$38)*$L$32</f>
        <v>85742.679105325064</v>
      </c>
      <c r="N75" s="26"/>
      <c r="O75" s="26"/>
      <c r="P75" s="26"/>
      <c r="Q75" s="26">
        <f>'77427 data (L)'!I$38*('77427 data (L)'!$C$38/'77427 data (L)'!$D$38)*$Q$32</f>
        <v>99978.523883560687</v>
      </c>
    </row>
    <row r="76" spans="1:18" x14ac:dyDescent="0.35">
      <c r="A76" t="s">
        <v>115</v>
      </c>
      <c r="B76" s="32"/>
      <c r="C76" s="32"/>
      <c r="D76" s="32"/>
      <c r="E76" s="32"/>
      <c r="F76" s="26"/>
      <c r="G76" s="32"/>
      <c r="H76" s="32"/>
      <c r="I76" s="32"/>
      <c r="J76" s="32"/>
      <c r="K76" s="32"/>
      <c r="L76" s="26">
        <f>'77427 data (L)'!G$38*('77427 data (L)'!$C$38/'77427 data (L)'!$D$38)*$L$32</f>
        <v>187588.63817483556</v>
      </c>
      <c r="N76" s="32"/>
      <c r="O76" s="32"/>
      <c r="P76" s="32"/>
      <c r="Q76" s="26">
        <f>'77427 data (L)'!J$38*('77427 data (L)'!$C$38/'77427 data (L)'!$D$38)*$Q$32</f>
        <v>272075.49490446865</v>
      </c>
    </row>
    <row r="77" spans="1:18" x14ac:dyDescent="0.35">
      <c r="A77" t="s">
        <v>116</v>
      </c>
      <c r="B77" s="32"/>
      <c r="C77" s="32"/>
      <c r="D77" s="32"/>
      <c r="E77" s="32"/>
      <c r="F77" s="26"/>
      <c r="G77" s="32"/>
      <c r="H77" s="32"/>
      <c r="I77" s="32"/>
      <c r="J77" s="32"/>
      <c r="K77" s="32"/>
      <c r="L77" s="26">
        <f>'77427 data (L)'!H$38*('77427 data (L)'!$C$38/'77427 data (L)'!$D$38)*$L$32</f>
        <v>289434.59724434587</v>
      </c>
      <c r="N77" s="32"/>
      <c r="O77" s="32"/>
      <c r="P77" s="32"/>
      <c r="Q77" s="26">
        <f>'77427 data (L)'!K$38*('77427 data (L)'!$C$38/'77427 data (L)'!$D$38)*$Q$32</f>
        <v>444172.46592537663</v>
      </c>
      <c r="R77" s="26"/>
    </row>
    <row r="78" spans="1:18" x14ac:dyDescent="0.35">
      <c r="A78" t="s">
        <v>158</v>
      </c>
      <c r="F78" s="26"/>
    </row>
    <row r="79" spans="1:18" x14ac:dyDescent="0.35">
      <c r="A79" t="s">
        <v>114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>
        <f>'77427 data (L)'!F$38*('77427 data (L)'!$C$38/'77427 data (L)'!$D$38)*(1-$L$32)</f>
        <v>75233.821824587372</v>
      </c>
      <c r="N79" s="26"/>
      <c r="O79" s="26"/>
      <c r="P79" s="26"/>
      <c r="Q79" s="26">
        <f>'77427 data (L)'!I$38*('77427 data (L)'!$C$38/'77427 data (L)'!$D$38)*(1-$Q$32)</f>
        <v>122184.98466843615</v>
      </c>
    </row>
    <row r="80" spans="1:18" x14ac:dyDescent="0.35">
      <c r="A80" t="s">
        <v>115</v>
      </c>
      <c r="B80" s="32"/>
      <c r="C80" s="32"/>
      <c r="D80" s="32"/>
      <c r="E80" s="32"/>
      <c r="F80" s="26"/>
      <c r="G80" s="32"/>
      <c r="H80" s="32"/>
      <c r="I80" s="32"/>
      <c r="J80" s="32"/>
      <c r="K80" s="32"/>
      <c r="L80" s="26">
        <f>'77427 data (L)'!G$38*('77427 data (L)'!$C$38/'77427 data (L)'!$D$38)*(1-$L$32)</f>
        <v>164597.26157409136</v>
      </c>
      <c r="N80" s="32"/>
      <c r="O80" s="32"/>
      <c r="P80" s="32"/>
      <c r="Q80" s="26">
        <f>'77427 data (L)'!J$38*('77427 data (L)'!$C$38/'77427 data (L)'!$D$38)*(1-$Q$32)</f>
        <v>332506.81128555711</v>
      </c>
    </row>
    <row r="81" spans="1:17" x14ac:dyDescent="0.35">
      <c r="A81" t="s">
        <v>116</v>
      </c>
      <c r="B81" s="32"/>
      <c r="C81" s="32"/>
      <c r="D81" s="32"/>
      <c r="E81" s="32"/>
      <c r="F81" s="26"/>
      <c r="G81" s="32"/>
      <c r="H81" s="32"/>
      <c r="I81" s="32"/>
      <c r="J81" s="32"/>
      <c r="K81" s="32"/>
      <c r="L81" s="26">
        <f>'77427 data (L)'!H$38*('77427 data (L)'!$C$38/'77427 data (L)'!$D$38)*(1-$L$32)</f>
        <v>253960.70132359519</v>
      </c>
      <c r="N81" s="32"/>
      <c r="O81" s="32"/>
      <c r="P81" s="32"/>
      <c r="Q81" s="26">
        <f>'77427 data (L)'!K$38*('77427 data (L)'!$C$38/'77427 data (L)'!$D$38)*(1-$Q$32)</f>
        <v>542828.63790267822</v>
      </c>
    </row>
    <row r="82" spans="1:17" x14ac:dyDescent="0.35">
      <c r="A82" t="s">
        <v>159</v>
      </c>
      <c r="F82" s="26"/>
    </row>
    <row r="83" spans="1:17" x14ac:dyDescent="0.35">
      <c r="A83" t="s">
        <v>114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>
        <f>'77427 data (L)'!F$38*(   ('77427 data (L)'!$D$38 -  '77427 data (L)'!$C$38)     /'77427 data (L)'!$D$38)</f>
        <v>104176.25990789857</v>
      </c>
      <c r="N83" s="26"/>
      <c r="O83" s="26"/>
      <c r="P83" s="26"/>
      <c r="Q83" s="26">
        <f>'77427 data (L)'!I$38*(   ('77427 data (L)'!$D$38 -  '77427 data (L)'!$C$38)     /'77427 data (L)'!$D$38)</f>
        <v>143773.55250776763</v>
      </c>
    </row>
    <row r="84" spans="1:17" x14ac:dyDescent="0.35">
      <c r="A84" t="s">
        <v>115</v>
      </c>
      <c r="B84" s="32"/>
      <c r="C84" s="32"/>
      <c r="D84" s="32"/>
      <c r="E84" s="32"/>
      <c r="F84" s="26"/>
      <c r="G84" s="32"/>
      <c r="H84" s="32"/>
      <c r="I84" s="32"/>
      <c r="J84" s="32"/>
      <c r="K84" s="32"/>
      <c r="L84" s="26">
        <f>'77427 data (L)'!G$38*(   ('77427 data (L)'!$D$38 -  '77427 data (L)'!$C$38)     /'77427 data (L)'!$D$38)</f>
        <v>227917.79928248984</v>
      </c>
      <c r="N84" s="32"/>
      <c r="O84" s="32"/>
      <c r="P84" s="32"/>
      <c r="Q84" s="26">
        <f>'77427 data (L)'!J$38*(   ('77427 data (L)'!$D$38 -  '77427 data (L)'!$C$38)     /'77427 data (L)'!$D$38)</f>
        <v>391256.63125695015</v>
      </c>
    </row>
    <row r="85" spans="1:17" x14ac:dyDescent="0.35">
      <c r="A85" t="s">
        <v>116</v>
      </c>
      <c r="B85" s="32"/>
      <c r="C85" s="32"/>
      <c r="D85" s="32"/>
      <c r="E85" s="32"/>
      <c r="F85" s="26"/>
      <c r="G85" s="32"/>
      <c r="H85" s="32"/>
      <c r="I85" s="32"/>
      <c r="J85" s="32"/>
      <c r="K85" s="32"/>
      <c r="L85" s="26">
        <f>'77427 data (L)'!H$38*(   ('77427 data (L)'!$D$38 -  '77427 data (L)'!$C$38)     /'77427 data (L)'!$D$38)</f>
        <v>351659.33865708089</v>
      </c>
      <c r="N85" s="32"/>
      <c r="O85" s="32"/>
      <c r="P85" s="32"/>
      <c r="Q85" s="26">
        <f>'77427 data (L)'!K$38*(   ('77427 data (L)'!$D$38 -  '77427 data (L)'!$C$38)     /'77427 data (L)'!$D$38)</f>
        <v>638739.71000613272</v>
      </c>
    </row>
    <row r="86" spans="1:17" x14ac:dyDescent="0.35">
      <c r="F86" s="26"/>
    </row>
    <row r="87" spans="1:17" x14ac:dyDescent="0.35">
      <c r="A87" t="s">
        <v>118</v>
      </c>
      <c r="F87" s="26"/>
      <c r="H87">
        <f>IF('Live Output Fx'!$D49=$A88,H88,IF('Live Output Fx'!$D49=$A89,H89,IF('Live Output Fx'!$D49=$A90,H90,IF('Live Output Fx'!$D49=$A91,H91,0))))</f>
        <v>475384.76335266849</v>
      </c>
      <c r="I87">
        <f>IF('Live Output Fx'!$D49=$A88,I88,IF('Live Output Fx'!$D49=$A89,I89,IF('Live Output Fx'!$D49=$A90,I90,IF('Live Output Fx'!$D49=$A91,I91,0))))</f>
        <v>950769.52670533699</v>
      </c>
      <c r="J87">
        <f>IF('Live Output Fx'!$D49=$A88,J88,IF('Live Output Fx'!$D49=$A89,J89,IF('Live Output Fx'!$D49=$A90,J90,IF('Live Output Fx'!$D49=$A91,J91,0))))</f>
        <v>1426154.2900580056</v>
      </c>
      <c r="K87">
        <f>IF('Live Output Fx'!$D49=$A88,K88,IF('Live Output Fx'!$D49=$A89,K89,IF('Live Output Fx'!$D49=$A90,K90,IF('Live Output Fx'!$D49=$A91,K91,0))))</f>
        <v>1901539.053410674</v>
      </c>
      <c r="L87">
        <f>IF('Live Output Fx'!$D49=$A88,L88,IF('Live Output Fx'!$D49=$A89,L89,IF('Live Output Fx'!$D49=$A90,L90,IF('Live Output Fx'!$D49=$A91,L91,0))))</f>
        <v>2376923.8167633424</v>
      </c>
      <c r="M87">
        <f>IF('Live Output Fx'!$D49=$A88,M88,IF('Live Output Fx'!$D49=$A89,M89,IF('Live Output Fx'!$D49=$A90,M90,IF('Live Output Fx'!$D49=$A91,M91,0))))</f>
        <v>2852308.5801160112</v>
      </c>
      <c r="N87">
        <f>IF('Live Output Fx'!$D49=$A88,N88,IF('Live Output Fx'!$D49=$A89,N89,IF('Live Output Fx'!$D49=$A90,N90,IF('Live Output Fx'!$D49=$A91,N91,0))))</f>
        <v>3327693.3434686796</v>
      </c>
      <c r="O87">
        <f>IF('Live Output Fx'!$D49=$A88,O88,IF('Live Output Fx'!$D49=$A89,O89,IF('Live Output Fx'!$D49=$A90,O90,IF('Live Output Fx'!$D49=$A91,O91,0))))</f>
        <v>3803078.106821348</v>
      </c>
      <c r="P87">
        <f>IF('Live Output Fx'!$D49=$A88,P88,IF('Live Output Fx'!$D49=$A89,P89,IF('Live Output Fx'!$D49=$A90,P90,IF('Live Output Fx'!$D49=$A91,P91,0))))</f>
        <v>4278462.8701740168</v>
      </c>
      <c r="Q87">
        <f>IF('Live Output Fx'!$D49=$A88,Q88,IF('Live Output Fx'!$D49=$A89,Q89,IF('Live Output Fx'!$D49=$A90,Q90,IF('Live Output Fx'!$D49=$A91,Q91,0))))</f>
        <v>4753847.6335266847</v>
      </c>
    </row>
    <row r="88" spans="1:17" x14ac:dyDescent="0.35">
      <c r="A88" s="102" t="s">
        <v>258</v>
      </c>
      <c r="F88" s="26"/>
      <c r="H88" s="71">
        <f t="shared" ref="H88:P91" si="5">$Q88*(0.1*H$92)</f>
        <v>0</v>
      </c>
      <c r="I88" s="71">
        <f t="shared" si="5"/>
        <v>0</v>
      </c>
      <c r="J88" s="71">
        <f t="shared" si="5"/>
        <v>0</v>
      </c>
      <c r="K88" s="71">
        <f t="shared" si="5"/>
        <v>0</v>
      </c>
      <c r="L88" s="71">
        <f t="shared" si="5"/>
        <v>0</v>
      </c>
      <c r="M88" s="71">
        <f t="shared" si="5"/>
        <v>0</v>
      </c>
      <c r="N88" s="71">
        <f t="shared" si="5"/>
        <v>0</v>
      </c>
      <c r="O88" s="71">
        <f t="shared" si="5"/>
        <v>0</v>
      </c>
      <c r="P88" s="71">
        <f t="shared" si="5"/>
        <v>0</v>
      </c>
      <c r="Q88" s="25">
        <f>E125</f>
        <v>0</v>
      </c>
    </row>
    <row r="89" spans="1:17" x14ac:dyDescent="0.35">
      <c r="A89" s="102" t="s">
        <v>260</v>
      </c>
      <c r="F89" s="26"/>
      <c r="H89" s="71">
        <f t="shared" si="5"/>
        <v>112957.65439668704</v>
      </c>
      <c r="I89" s="71">
        <f t="shared" si="5"/>
        <v>225915.30879337408</v>
      </c>
      <c r="J89" s="71">
        <f t="shared" si="5"/>
        <v>338872.96319006116</v>
      </c>
      <c r="K89" s="71">
        <f t="shared" si="5"/>
        <v>451830.61758674815</v>
      </c>
      <c r="L89" s="71">
        <f t="shared" si="5"/>
        <v>564788.27198343514</v>
      </c>
      <c r="M89" s="71">
        <f t="shared" si="5"/>
        <v>677745.92638012231</v>
      </c>
      <c r="N89" s="71">
        <f t="shared" si="5"/>
        <v>790703.58077680925</v>
      </c>
      <c r="O89" s="71">
        <f t="shared" si="5"/>
        <v>903661.2351734963</v>
      </c>
      <c r="P89" s="71">
        <f t="shared" si="5"/>
        <v>1016618.8895701832</v>
      </c>
      <c r="Q89" s="25">
        <f>E126</f>
        <v>1129576.5439668703</v>
      </c>
    </row>
    <row r="90" spans="1:17" x14ac:dyDescent="0.35">
      <c r="A90" s="102" t="s">
        <v>261</v>
      </c>
      <c r="F90" s="26"/>
      <c r="H90" s="71">
        <f t="shared" si="5"/>
        <v>294171.20887467777</v>
      </c>
      <c r="I90" s="71">
        <f t="shared" si="5"/>
        <v>588342.41774935555</v>
      </c>
      <c r="J90" s="71">
        <f t="shared" si="5"/>
        <v>882513.62662403344</v>
      </c>
      <c r="K90" s="71">
        <f t="shared" si="5"/>
        <v>1176684.8354987111</v>
      </c>
      <c r="L90" s="71">
        <f t="shared" si="5"/>
        <v>1470856.0443733889</v>
      </c>
      <c r="M90" s="71">
        <f t="shared" si="5"/>
        <v>1765027.2532480669</v>
      </c>
      <c r="N90" s="71">
        <f t="shared" si="5"/>
        <v>2059198.4621227446</v>
      </c>
      <c r="O90" s="71">
        <f t="shared" si="5"/>
        <v>2353369.6709974222</v>
      </c>
      <c r="P90" s="71">
        <f t="shared" si="5"/>
        <v>2647540.8798721</v>
      </c>
      <c r="Q90" s="25">
        <f>E127</f>
        <v>2941712.0887467777</v>
      </c>
    </row>
    <row r="91" spans="1:17" x14ac:dyDescent="0.35">
      <c r="A91" s="102" t="s">
        <v>262</v>
      </c>
      <c r="H91" s="71">
        <f t="shared" si="5"/>
        <v>475384.76335266849</v>
      </c>
      <c r="I91" s="71">
        <f t="shared" si="5"/>
        <v>950769.52670533699</v>
      </c>
      <c r="J91" s="71">
        <f t="shared" si="5"/>
        <v>1426154.2900580056</v>
      </c>
      <c r="K91" s="71">
        <f t="shared" si="5"/>
        <v>1901539.053410674</v>
      </c>
      <c r="L91" s="71">
        <f t="shared" si="5"/>
        <v>2376923.8167633424</v>
      </c>
      <c r="M91" s="71">
        <f t="shared" si="5"/>
        <v>2852308.5801160112</v>
      </c>
      <c r="N91" s="71">
        <f t="shared" si="5"/>
        <v>3327693.3434686796</v>
      </c>
      <c r="O91" s="71">
        <f t="shared" si="5"/>
        <v>3803078.106821348</v>
      </c>
      <c r="P91" s="71">
        <f t="shared" si="5"/>
        <v>4278462.8701740168</v>
      </c>
      <c r="Q91" s="25">
        <f>E128</f>
        <v>4753847.6335266847</v>
      </c>
    </row>
    <row r="92" spans="1:17" x14ac:dyDescent="0.35">
      <c r="H92">
        <v>1</v>
      </c>
      <c r="I92">
        <v>2</v>
      </c>
      <c r="J92">
        <v>3</v>
      </c>
      <c r="K92">
        <v>4</v>
      </c>
      <c r="L92">
        <v>5</v>
      </c>
      <c r="M92">
        <v>6</v>
      </c>
      <c r="N92">
        <v>7</v>
      </c>
      <c r="O92">
        <v>8</v>
      </c>
      <c r="P92">
        <v>9</v>
      </c>
      <c r="Q92">
        <v>10</v>
      </c>
    </row>
    <row r="94" spans="1:17" x14ac:dyDescent="0.35">
      <c r="A94" t="s">
        <v>133</v>
      </c>
      <c r="H94">
        <f>IF('Live Output Fx'!$D51=$A95,H95,IF('Live Output Fx'!$D51=$A96,H96,IF('Live Output Fx'!$D51=$A97,H97,IF('Live Output Fx'!$D51=$A98,H98,0))))</f>
        <v>0</v>
      </c>
      <c r="I94">
        <f>IF('Live Output Fx'!$D51=$A95,I95,IF('Live Output Fx'!$D51=$A96,I96,IF('Live Output Fx'!$D51=$A97,I97,IF('Live Output Fx'!$D51=$A98,I98,0))))</f>
        <v>0</v>
      </c>
      <c r="J94">
        <f>IF('Live Output Fx'!$D51=$A95,J95,IF('Live Output Fx'!$D51=$A96,J96,IF('Live Output Fx'!$D51=$A97,J97,IF('Live Output Fx'!$D51=$A98,J98,0))))</f>
        <v>0</v>
      </c>
      <c r="K94">
        <f>IF('Live Output Fx'!$D51=$A95,K95,IF('Live Output Fx'!$D51=$A96,K96,IF('Live Output Fx'!$D51=$A97,K97,IF('Live Output Fx'!$D51=$A98,K98,0))))</f>
        <v>0</v>
      </c>
      <c r="L94">
        <f>IF('Live Output Fx'!$D51=$A95,L95,IF('Live Output Fx'!$D51=$A96,L96,IF('Live Output Fx'!$D51=$A97,L97,IF('Live Output Fx'!$D51=$A98,L98,0))))</f>
        <v>0</v>
      </c>
      <c r="M94">
        <f>IF('Live Output Fx'!$D51=$A95,M95,IF('Live Output Fx'!$D51=$A96,M96,IF('Live Output Fx'!$D51=$A97,M97,IF('Live Output Fx'!$D51=$A98,M98,0))))</f>
        <v>0</v>
      </c>
      <c r="N94">
        <f>IF('Live Output Fx'!$D51=$A95,N95,IF('Live Output Fx'!$D51=$A96,N96,IF('Live Output Fx'!$D51=$A97,N97,IF('Live Output Fx'!$D51=$A98,N98,0))))</f>
        <v>0</v>
      </c>
      <c r="O94">
        <f>IF('Live Output Fx'!$D51=$A95,O95,IF('Live Output Fx'!$D51=$A96,O96,IF('Live Output Fx'!$D51=$A97,O97,IF('Live Output Fx'!$D51=$A98,O98,0))))</f>
        <v>0</v>
      </c>
      <c r="P94">
        <f>IF('Live Output Fx'!$D51=$A95,P95,IF('Live Output Fx'!$D51=$A96,P96,IF('Live Output Fx'!$D51=$A97,P97,IF('Live Output Fx'!$D51=$A98,P98,0))))</f>
        <v>0</v>
      </c>
      <c r="Q94">
        <f>IF('Live Output Fx'!$D51=$A95,Q95,IF('Live Output Fx'!$D51=$A96,Q96,IF('Live Output Fx'!$D51=$A97,Q97,IF('Live Output Fx'!$D51=$A98,Q98,0))))</f>
        <v>0</v>
      </c>
    </row>
    <row r="95" spans="1:17" x14ac:dyDescent="0.35">
      <c r="A95" t="s">
        <v>285</v>
      </c>
      <c r="H95" s="71">
        <f t="shared" ref="H95:P97" si="6">$Q95*(0.1*H$92)</f>
        <v>41039.881721979153</v>
      </c>
      <c r="I95" s="71">
        <f t="shared" si="6"/>
        <v>82079.763443958305</v>
      </c>
      <c r="J95" s="71">
        <f t="shared" si="6"/>
        <v>123119.64516593746</v>
      </c>
      <c r="K95" s="71">
        <f t="shared" si="6"/>
        <v>164159.52688791661</v>
      </c>
      <c r="L95" s="71">
        <f t="shared" si="6"/>
        <v>205199.40860989573</v>
      </c>
      <c r="M95" s="71">
        <f t="shared" si="6"/>
        <v>246239.29033187492</v>
      </c>
      <c r="N95" s="71">
        <f t="shared" si="6"/>
        <v>287279.17205385404</v>
      </c>
      <c r="O95" s="71">
        <f t="shared" si="6"/>
        <v>328319.05377583322</v>
      </c>
      <c r="P95" s="71">
        <f t="shared" si="6"/>
        <v>369358.93549781234</v>
      </c>
      <c r="Q95" s="71">
        <f>B$126*0.05</f>
        <v>410398.81721979147</v>
      </c>
    </row>
    <row r="96" spans="1:17" x14ac:dyDescent="0.35">
      <c r="A96" t="s">
        <v>286</v>
      </c>
      <c r="H96" s="71">
        <f t="shared" si="6"/>
        <v>82079.763443958305</v>
      </c>
      <c r="I96" s="71">
        <f t="shared" si="6"/>
        <v>164159.52688791661</v>
      </c>
      <c r="J96" s="71">
        <f t="shared" si="6"/>
        <v>246239.29033187492</v>
      </c>
      <c r="K96" s="71">
        <f t="shared" si="6"/>
        <v>328319.05377583322</v>
      </c>
      <c r="L96" s="71">
        <f t="shared" si="6"/>
        <v>410398.81721979147</v>
      </c>
      <c r="M96" s="71">
        <f t="shared" si="6"/>
        <v>492478.58066374983</v>
      </c>
      <c r="N96" s="71">
        <f t="shared" si="6"/>
        <v>574558.34410770808</v>
      </c>
      <c r="O96" s="71">
        <f t="shared" si="6"/>
        <v>656638.10755166644</v>
      </c>
      <c r="P96" s="71">
        <f t="shared" si="6"/>
        <v>738717.87099562469</v>
      </c>
      <c r="Q96" s="71">
        <f>B$126*0.1</f>
        <v>820797.63443958294</v>
      </c>
    </row>
    <row r="97" spans="1:17" x14ac:dyDescent="0.35">
      <c r="A97" t="s">
        <v>284</v>
      </c>
      <c r="H97" s="71">
        <f t="shared" si="6"/>
        <v>205199.40860989573</v>
      </c>
      <c r="I97" s="71">
        <f t="shared" si="6"/>
        <v>410398.81721979147</v>
      </c>
      <c r="J97" s="71">
        <f t="shared" si="6"/>
        <v>615598.2258296872</v>
      </c>
      <c r="K97" s="71">
        <f t="shared" si="6"/>
        <v>820797.63443958294</v>
      </c>
      <c r="L97" s="71">
        <f t="shared" si="6"/>
        <v>1025997.0430494786</v>
      </c>
      <c r="M97" s="71">
        <f t="shared" si="6"/>
        <v>1231196.4516593744</v>
      </c>
      <c r="N97" s="71">
        <f t="shared" si="6"/>
        <v>1436395.8602692701</v>
      </c>
      <c r="O97" s="71">
        <f t="shared" si="6"/>
        <v>1641595.2688791659</v>
      </c>
      <c r="P97" s="71">
        <f t="shared" si="6"/>
        <v>1846794.6774890614</v>
      </c>
      <c r="Q97" s="71">
        <f>B$126*0.25</f>
        <v>2051994.0860989571</v>
      </c>
    </row>
    <row r="98" spans="1:17" x14ac:dyDescent="0.35">
      <c r="A98" s="102" t="s">
        <v>265</v>
      </c>
      <c r="B98" s="101" t="s">
        <v>268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</row>
    <row r="99" spans="1:17" x14ac:dyDescent="0.35">
      <c r="A99" s="102"/>
      <c r="H99" s="71"/>
      <c r="I99" s="71"/>
      <c r="J99" s="71"/>
      <c r="K99" s="71"/>
      <c r="L99" s="71"/>
      <c r="M99" s="71"/>
      <c r="N99" s="71"/>
      <c r="O99" s="71"/>
      <c r="P99" s="71"/>
      <c r="Q99" s="71"/>
    </row>
    <row r="100" spans="1:17" x14ac:dyDescent="0.35">
      <c r="A100" s="102" t="s">
        <v>269</v>
      </c>
      <c r="H100">
        <f>IF('Live Output Fx'!$D52=$A101,H101,IF('Live Output Fx'!$D52=$A102,H102,IF('Live Output Fx'!$D52=$A103,H103,IF('Live Output Fx'!$D52=$A104,H104,0))))</f>
        <v>0</v>
      </c>
      <c r="I100">
        <f>IF('Live Output Fx'!$D52=$A101,I101,IF('Live Output Fx'!$D52=$A102,I102,IF('Live Output Fx'!$D52=$A103,I103,IF('Live Output Fx'!$D52=$A104,I104,0))))</f>
        <v>0</v>
      </c>
      <c r="J100">
        <f>IF('Live Output Fx'!$D52=$A101,J101,IF('Live Output Fx'!$D52=$A102,J102,IF('Live Output Fx'!$D52=$A103,J103,IF('Live Output Fx'!$D52=$A104,J104,0))))</f>
        <v>0</v>
      </c>
      <c r="K100">
        <f>IF('Live Output Fx'!$D52=$A101,K101,IF('Live Output Fx'!$D52=$A102,K102,IF('Live Output Fx'!$D52=$A103,K103,IF('Live Output Fx'!$D52=$A104,K104,0))))</f>
        <v>0</v>
      </c>
      <c r="L100">
        <f>IF('Live Output Fx'!$D52=$A101,L101,IF('Live Output Fx'!$D52=$A102,L102,IF('Live Output Fx'!$D52=$A103,L103,IF('Live Output Fx'!$D52=$A104,L104,0))))</f>
        <v>0</v>
      </c>
      <c r="M100">
        <f>IF('Live Output Fx'!$D52=$A101,M101,IF('Live Output Fx'!$D52=$A102,M102,IF('Live Output Fx'!$D52=$A103,M103,IF('Live Output Fx'!$D52=$A104,M104,0))))</f>
        <v>0</v>
      </c>
      <c r="N100">
        <f>IF('Live Output Fx'!$D52=$A101,N101,IF('Live Output Fx'!$D52=$A102,N102,IF('Live Output Fx'!$D52=$A103,N103,IF('Live Output Fx'!$D52=$A104,N104,0))))</f>
        <v>0</v>
      </c>
      <c r="O100">
        <f>IF('Live Output Fx'!$D52=$A101,O101,IF('Live Output Fx'!$D52=$A102,O102,IF('Live Output Fx'!$D52=$A103,O103,IF('Live Output Fx'!$D52=$A104,O104,0))))</f>
        <v>0</v>
      </c>
      <c r="P100">
        <f>IF('Live Output Fx'!$D52=$A101,P101,IF('Live Output Fx'!$D52=$A102,P102,IF('Live Output Fx'!$D52=$A103,P103,IF('Live Output Fx'!$D52=$A104,P104,0))))</f>
        <v>0</v>
      </c>
      <c r="Q100">
        <f>IF('Live Output Fx'!$D52=$A101,Q101,IF('Live Output Fx'!$D52=$A102,Q102,IF('Live Output Fx'!$D52=$A103,Q103,IF('Live Output Fx'!$D52=$A104,Q104,0))))</f>
        <v>0</v>
      </c>
    </row>
    <row r="101" spans="1:17" x14ac:dyDescent="0.35">
      <c r="A101" s="102" t="s">
        <v>287</v>
      </c>
      <c r="H101" s="71">
        <f t="shared" ref="H101:P103" si="7">$Q101*(0.1*H$92)</f>
        <v>47585.34</v>
      </c>
      <c r="I101" s="71">
        <f t="shared" si="7"/>
        <v>95170.68</v>
      </c>
      <c r="J101" s="71">
        <f t="shared" si="7"/>
        <v>142756.02000000002</v>
      </c>
      <c r="K101" s="71">
        <f t="shared" si="7"/>
        <v>190341.36</v>
      </c>
      <c r="L101" s="71">
        <f t="shared" si="7"/>
        <v>237926.69999999998</v>
      </c>
      <c r="M101" s="71">
        <f t="shared" si="7"/>
        <v>285512.04000000004</v>
      </c>
      <c r="N101" s="71">
        <f t="shared" si="7"/>
        <v>333097.38</v>
      </c>
      <c r="O101" s="71">
        <f t="shared" si="7"/>
        <v>380682.72</v>
      </c>
      <c r="P101" s="71">
        <f t="shared" si="7"/>
        <v>428268.06</v>
      </c>
      <c r="Q101" s="71">
        <f>B138</f>
        <v>475853.39999999997</v>
      </c>
    </row>
    <row r="102" spans="1:17" x14ac:dyDescent="0.35">
      <c r="A102" s="102" t="s">
        <v>274</v>
      </c>
      <c r="H102" s="71">
        <f t="shared" si="7"/>
        <v>95170.68</v>
      </c>
      <c r="I102" s="71">
        <f t="shared" si="7"/>
        <v>190341.36</v>
      </c>
      <c r="J102" s="71">
        <f t="shared" si="7"/>
        <v>285512.04000000004</v>
      </c>
      <c r="K102" s="71">
        <f t="shared" si="7"/>
        <v>380682.72</v>
      </c>
      <c r="L102" s="71">
        <f t="shared" si="7"/>
        <v>475853.39999999997</v>
      </c>
      <c r="M102" s="71">
        <f t="shared" si="7"/>
        <v>571024.08000000007</v>
      </c>
      <c r="N102" s="71">
        <f t="shared" si="7"/>
        <v>666194.76</v>
      </c>
      <c r="O102" s="71">
        <f t="shared" si="7"/>
        <v>761365.44</v>
      </c>
      <c r="P102" s="71">
        <f t="shared" si="7"/>
        <v>856536.12</v>
      </c>
      <c r="Q102" s="71">
        <f>B139</f>
        <v>951706.79999999993</v>
      </c>
    </row>
    <row r="103" spans="1:17" x14ac:dyDescent="0.35">
      <c r="A103" s="102" t="s">
        <v>275</v>
      </c>
      <c r="H103" s="71">
        <f t="shared" si="7"/>
        <v>158617.80000000002</v>
      </c>
      <c r="I103" s="71">
        <f t="shared" si="7"/>
        <v>317235.60000000003</v>
      </c>
      <c r="J103" s="71">
        <f t="shared" si="7"/>
        <v>475853.40000000008</v>
      </c>
      <c r="K103" s="71">
        <f t="shared" si="7"/>
        <v>634471.20000000007</v>
      </c>
      <c r="L103" s="71">
        <f t="shared" si="7"/>
        <v>793089</v>
      </c>
      <c r="M103" s="71">
        <f t="shared" si="7"/>
        <v>951706.80000000016</v>
      </c>
      <c r="N103" s="71">
        <f t="shared" si="7"/>
        <v>1110324.6000000001</v>
      </c>
      <c r="O103" s="71">
        <f t="shared" si="7"/>
        <v>1268942.4000000001</v>
      </c>
      <c r="P103" s="71">
        <f t="shared" si="7"/>
        <v>1427560.2</v>
      </c>
      <c r="Q103" s="71">
        <f>B140</f>
        <v>1586178</v>
      </c>
    </row>
    <row r="105" spans="1:17" x14ac:dyDescent="0.35">
      <c r="A105" t="s">
        <v>134</v>
      </c>
      <c r="G105">
        <f>IF('Live Output Fx'!$D50=$A106,G106,IF('Live Output Fx'!$D50=$A107,G107,IF('Live Output Fx'!$D50=$A108,G108,IF('Live Output Fx'!$D50=$A109,G109,IF('Live Output Fx'!$D50=$A110,G110,1)))))</f>
        <v>1</v>
      </c>
      <c r="H105">
        <f>IF('Live Output Fx'!$D50=$A106,H106,IF('Live Output Fx'!$D50=$A107,H107,IF('Live Output Fx'!$D50=$A108,H108,IF('Live Output Fx'!$D50=$A109,H109,IF('Live Output Fx'!$D50=$A110,H110,1)))))</f>
        <v>1</v>
      </c>
      <c r="I105">
        <f>IF('Live Output Fx'!$D50=$A106,I106,IF('Live Output Fx'!$D50=$A107,I107,IF('Live Output Fx'!$D50=$A108,I108,IF('Live Output Fx'!$D50=$A109,I109,IF('Live Output Fx'!$D50=$A110,I110,1)))))</f>
        <v>1</v>
      </c>
      <c r="J105">
        <f>IF('Live Output Fx'!$D50=$A106,J106,IF('Live Output Fx'!$D50=$A107,J107,IF('Live Output Fx'!$D50=$A108,J108,IF('Live Output Fx'!$D50=$A109,J109,IF('Live Output Fx'!$D50=$A110,J110,1)))))</f>
        <v>1</v>
      </c>
      <c r="K105">
        <f>IF('Live Output Fx'!$D50=$A106,K106,IF('Live Output Fx'!$D50=$A107,K107,IF('Live Output Fx'!$D50=$A108,K108,IF('Live Output Fx'!$D50=$A109,K109,IF('Live Output Fx'!$D50=$A110,K110,1)))))</f>
        <v>1</v>
      </c>
      <c r="L105">
        <f>IF('Live Output Fx'!$D50=$A106,L106,IF('Live Output Fx'!$D50=$A107,L107,IF('Live Output Fx'!$D50=$A108,L108,IF('Live Output Fx'!$D50=$A109,L109,IF('Live Output Fx'!$D50=$A110,L110,1)))))</f>
        <v>1</v>
      </c>
      <c r="M105">
        <f>IF('Live Output Fx'!$D50=$A106,M106,IF('Live Output Fx'!$D50=$A107,M107,IF('Live Output Fx'!$D50=$A108,M108,IF('Live Output Fx'!$D50=$A109,M109,IF('Live Output Fx'!$D50=$A110,M110,1)))))</f>
        <v>1</v>
      </c>
      <c r="N105">
        <f>IF('Live Output Fx'!$D50=$A106,N106,IF('Live Output Fx'!$D50=$A107,N107,IF('Live Output Fx'!$D50=$A108,N108,IF('Live Output Fx'!$D50=$A109,N109,IF('Live Output Fx'!$D50=$A110,N110,1)))))</f>
        <v>1</v>
      </c>
      <c r="O105">
        <f>IF('Live Output Fx'!$D50=$A106,O106,IF('Live Output Fx'!$D50=$A107,O107,IF('Live Output Fx'!$D50=$A108,O108,IF('Live Output Fx'!$D50=$A109,O109,IF('Live Output Fx'!$D50=$A110,O110,1)))))</f>
        <v>1</v>
      </c>
      <c r="P105">
        <f>IF('Live Output Fx'!$D50=$A106,P106,IF('Live Output Fx'!$D50=$A107,P107,IF('Live Output Fx'!$D50=$A108,P108,IF('Live Output Fx'!$D50=$A109,P109,IF('Live Output Fx'!$D50=$A110,P110,1)))))</f>
        <v>1</v>
      </c>
      <c r="Q105">
        <f>IF('Live Output Fx'!$D50=$A106,Q106,IF('Live Output Fx'!$D50=$A107,Q107,IF('Live Output Fx'!$D50=$A108,Q108,IF('Live Output Fx'!$D50=$A109,Q109,IF('Live Output Fx'!$D50=$A110,Q110,1)))))</f>
        <v>1</v>
      </c>
    </row>
    <row r="106" spans="1:17" x14ac:dyDescent="0.35">
      <c r="A106" t="s">
        <v>156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</row>
    <row r="107" spans="1:17" x14ac:dyDescent="0.35">
      <c r="A107" t="s">
        <v>154</v>
      </c>
      <c r="G107">
        <v>1</v>
      </c>
      <c r="H107">
        <f t="shared" ref="H107:P107" si="8">G107*(($Q107/$G107)^(1/10))</f>
        <v>1.0106881558165439</v>
      </c>
      <c r="I107">
        <f t="shared" si="8"/>
        <v>1.0214905483078465</v>
      </c>
      <c r="J107">
        <f t="shared" si="8"/>
        <v>1.0324083984532877</v>
      </c>
      <c r="K107">
        <f t="shared" si="8"/>
        <v>1.0434429402822649</v>
      </c>
      <c r="L107">
        <f t="shared" si="8"/>
        <v>1.0545954210136745</v>
      </c>
      <c r="M107">
        <f t="shared" si="8"/>
        <v>1.0658671011968823</v>
      </c>
      <c r="N107">
        <f t="shared" si="8"/>
        <v>1.0772592548542026</v>
      </c>
      <c r="O107">
        <f t="shared" si="8"/>
        <v>1.0887731696248983</v>
      </c>
      <c r="P107">
        <f t="shared" si="8"/>
        <v>1.1004101469107217</v>
      </c>
      <c r="Q107">
        <f>'Regional data (L)'!J38</f>
        <v>1.1121715020230101</v>
      </c>
    </row>
    <row r="108" spans="1:17" x14ac:dyDescent="0.35">
      <c r="A108" t="s">
        <v>155</v>
      </c>
      <c r="G108">
        <v>1</v>
      </c>
      <c r="H108">
        <f t="shared" ref="H108:P108" si="9">G108*(($Q108/$G108)^(1/10))</f>
        <v>1.0044674648098324</v>
      </c>
      <c r="I108">
        <f t="shared" si="9"/>
        <v>1.0089548878614918</v>
      </c>
      <c r="J108">
        <f t="shared" si="9"/>
        <v>1.0134623583177214</v>
      </c>
      <c r="K108">
        <f t="shared" si="9"/>
        <v>1.0179899657395954</v>
      </c>
      <c r="L108">
        <f t="shared" si="9"/>
        <v>1.0225378000882996</v>
      </c>
      <c r="M108">
        <f t="shared" si="9"/>
        <v>1.0271059517269177</v>
      </c>
      <c r="N108">
        <f t="shared" si="9"/>
        <v>1.0316945114222271</v>
      </c>
      <c r="O108">
        <f t="shared" si="9"/>
        <v>1.0363035703465031</v>
      </c>
      <c r="P108">
        <f t="shared" si="9"/>
        <v>1.0409332200793298</v>
      </c>
      <c r="Q108">
        <f>'Regional data (L)'!J34</f>
        <v>1.0455835526094199</v>
      </c>
    </row>
    <row r="109" spans="1:17" x14ac:dyDescent="0.35">
      <c r="A109" t="s">
        <v>231</v>
      </c>
      <c r="G109">
        <v>1</v>
      </c>
      <c r="H109">
        <f t="shared" ref="H109:P109" si="10">G109*(($Q109/$G109)^(1/10))</f>
        <v>0.99051417096454575</v>
      </c>
      <c r="I109">
        <f t="shared" si="10"/>
        <v>0.98111832288158141</v>
      </c>
      <c r="J109">
        <f t="shared" si="10"/>
        <v>0.97181160220717511</v>
      </c>
      <c r="K109">
        <f t="shared" si="10"/>
        <v>0.96259316349396695</v>
      </c>
      <c r="L109">
        <f t="shared" si="10"/>
        <v>0.95346216931436611</v>
      </c>
      <c r="M109">
        <f t="shared" si="10"/>
        <v>0.94441779018447669</v>
      </c>
      <c r="N109">
        <f t="shared" si="10"/>
        <v>0.9354592044887452</v>
      </c>
      <c r="O109">
        <f t="shared" si="10"/>
        <v>0.92658559840532295</v>
      </c>
      <c r="P109">
        <f t="shared" si="10"/>
        <v>0.91779616583213597</v>
      </c>
      <c r="Q109">
        <f>'Regional data (L)'!J40</f>
        <v>0.90909010831365666</v>
      </c>
    </row>
    <row r="110" spans="1:17" x14ac:dyDescent="0.35">
      <c r="A110" t="s">
        <v>228</v>
      </c>
      <c r="G110">
        <v>1</v>
      </c>
      <c r="H110">
        <f t="shared" ref="H110:P110" si="11">G110*(($Q110/$G110)^(1/10))</f>
        <v>0.98331640239864648</v>
      </c>
      <c r="I110">
        <f t="shared" si="11"/>
        <v>0.96691114722621685</v>
      </c>
      <c r="J110">
        <f t="shared" si="11"/>
        <v>0.95077959072963159</v>
      </c>
      <c r="K110">
        <f t="shared" si="11"/>
        <v>0.93491716663031887</v>
      </c>
      <c r="L110">
        <f t="shared" si="11"/>
        <v>0.91931938483166109</v>
      </c>
      <c r="M110">
        <f t="shared" si="11"/>
        <v>0.90398183014800582</v>
      </c>
      <c r="N110">
        <f t="shared" si="11"/>
        <v>0.88890016105488134</v>
      </c>
      <c r="O110">
        <f t="shared" si="11"/>
        <v>0.87407010846006339</v>
      </c>
      <c r="P110">
        <f t="shared" si="11"/>
        <v>0.85948747449514429</v>
      </c>
      <c r="Q110">
        <f>'Regional data (L)'!J42</f>
        <v>0.8451481313272633</v>
      </c>
    </row>
    <row r="113" spans="1:9" x14ac:dyDescent="0.35">
      <c r="A113" s="68" t="s">
        <v>256</v>
      </c>
      <c r="B113" s="68" t="s">
        <v>100</v>
      </c>
      <c r="C113" s="68" t="s">
        <v>232</v>
      </c>
      <c r="D113" s="101" t="s">
        <v>85</v>
      </c>
      <c r="E113" s="102" t="s">
        <v>101</v>
      </c>
      <c r="F113" s="102" t="s">
        <v>264</v>
      </c>
      <c r="H113" s="102" t="s">
        <v>263</v>
      </c>
    </row>
    <row r="114" spans="1:9" x14ac:dyDescent="0.35">
      <c r="A114" t="s">
        <v>257</v>
      </c>
      <c r="B114" s="79">
        <v>0</v>
      </c>
      <c r="C114" s="79">
        <v>1</v>
      </c>
      <c r="D114" s="103">
        <v>1</v>
      </c>
      <c r="E114" s="103">
        <v>1</v>
      </c>
      <c r="F114" s="103">
        <v>1</v>
      </c>
    </row>
    <row r="115" spans="1:9" x14ac:dyDescent="0.35">
      <c r="A115" t="s">
        <v>233</v>
      </c>
      <c r="B115" s="69">
        <v>207098.460000149</v>
      </c>
      <c r="C115" s="69">
        <v>1929336.0399982093</v>
      </c>
      <c r="D115" s="104">
        <v>2675437.3800380277</v>
      </c>
      <c r="E115" s="104">
        <v>3495848.5100174723</v>
      </c>
      <c r="F115" s="104">
        <f>G7-D115-C115</f>
        <v>14349739.910864057</v>
      </c>
    </row>
    <row r="116" spans="1:9" x14ac:dyDescent="0.35">
      <c r="A116" t="s">
        <v>234</v>
      </c>
      <c r="B116" s="81">
        <v>1.6593319684198273</v>
      </c>
      <c r="C116" s="72">
        <v>1.6593319684198273</v>
      </c>
      <c r="D116" s="105">
        <v>1.6593319684198273</v>
      </c>
      <c r="E116" s="105">
        <v>1.6593319684198273</v>
      </c>
      <c r="F116" s="105">
        <v>1.6593319684198273</v>
      </c>
    </row>
    <row r="117" spans="1:9" x14ac:dyDescent="0.35">
      <c r="A117" t="s">
        <v>235</v>
      </c>
      <c r="B117" s="81">
        <f>'77427 data (L)'!F28</f>
        <v>1.7502269312397556</v>
      </c>
      <c r="C117" s="81">
        <f>'77427 data (L)'!F26</f>
        <v>1.5432273436152899</v>
      </c>
      <c r="D117" s="106">
        <f>'77427 data (L)'!F28</f>
        <v>1.7502269312397556</v>
      </c>
      <c r="E117" s="106">
        <f>'77427 data (L)'!F29</f>
        <v>1.1494473461297119</v>
      </c>
      <c r="F117" s="105">
        <f>'77427 data (L)'!F30</f>
        <v>1.64715197128838</v>
      </c>
    </row>
    <row r="118" spans="1:9" x14ac:dyDescent="0.35">
      <c r="B118" s="81"/>
      <c r="C118" s="81"/>
      <c r="D118" s="104"/>
      <c r="E118" s="104"/>
      <c r="F118" s="104"/>
    </row>
    <row r="119" spans="1:9" x14ac:dyDescent="0.35">
      <c r="A119" s="68" t="s">
        <v>255</v>
      </c>
      <c r="B119" s="82">
        <f>B114*B115*B116*B117</f>
        <v>0</v>
      </c>
      <c r="C119" s="82">
        <f>C114*C115*C116*C117</f>
        <v>4940501.8590460699</v>
      </c>
      <c r="D119" s="107">
        <f>D114*D115*D116*D117</f>
        <v>7770025.3021991998</v>
      </c>
      <c r="E119" s="107">
        <f>E114*E115*E116*E117</f>
        <v>6667683.3480847357</v>
      </c>
      <c r="F119" s="107">
        <f>F114*F115*F116*F117</f>
        <v>39220306.223921455</v>
      </c>
    </row>
    <row r="120" spans="1:9" x14ac:dyDescent="0.35">
      <c r="B120" s="82"/>
      <c r="C120" s="103">
        <v>0.15</v>
      </c>
      <c r="D120" s="103">
        <v>0.05</v>
      </c>
      <c r="E120" s="103"/>
      <c r="F120" s="103">
        <v>0</v>
      </c>
      <c r="G120" t="s">
        <v>114</v>
      </c>
    </row>
    <row r="121" spans="1:9" x14ac:dyDescent="0.35">
      <c r="B121" s="69"/>
      <c r="C121" s="103">
        <v>0.2</v>
      </c>
      <c r="D121" s="103">
        <v>0.1</v>
      </c>
      <c r="E121" s="103"/>
      <c r="F121" s="103">
        <v>0.03</v>
      </c>
      <c r="G121" t="s">
        <v>259</v>
      </c>
    </row>
    <row r="122" spans="1:9" x14ac:dyDescent="0.35">
      <c r="A122" t="s">
        <v>236</v>
      </c>
      <c r="B122" s="69">
        <v>215171</v>
      </c>
      <c r="C122" s="103">
        <v>0.25</v>
      </c>
      <c r="D122" s="103">
        <v>0.15</v>
      </c>
      <c r="E122" s="103"/>
      <c r="F122" s="103">
        <v>0.06</v>
      </c>
      <c r="G122" t="s">
        <v>116</v>
      </c>
    </row>
    <row r="123" spans="1:9" x14ac:dyDescent="0.35">
      <c r="A123" t="s">
        <v>237</v>
      </c>
      <c r="B123" s="69">
        <f>B122*B116</f>
        <v>357040.11897686269</v>
      </c>
    </row>
    <row r="124" spans="1:9" x14ac:dyDescent="0.35">
      <c r="A124" t="s">
        <v>238</v>
      </c>
      <c r="B124" s="69">
        <f>B123*'77427 data (L)'!F29</f>
        <v>410398.81721979141</v>
      </c>
    </row>
    <row r="125" spans="1:9" x14ac:dyDescent="0.35">
      <c r="A125" t="s">
        <v>239</v>
      </c>
      <c r="B125">
        <v>20</v>
      </c>
      <c r="D125" s="108" t="s">
        <v>258</v>
      </c>
      <c r="E125" s="102">
        <v>0</v>
      </c>
      <c r="F125" s="102"/>
      <c r="G125" s="102"/>
      <c r="H125" s="102"/>
      <c r="I125" s="102"/>
    </row>
    <row r="126" spans="1:9" x14ac:dyDescent="0.35">
      <c r="A126" t="s">
        <v>240</v>
      </c>
      <c r="B126" s="69">
        <f>B124*B125</f>
        <v>8207976.3443958284</v>
      </c>
      <c r="D126" s="108" t="s">
        <v>260</v>
      </c>
      <c r="E126" s="109">
        <f>SUM(F126:I126)</f>
        <v>1129576.5439668703</v>
      </c>
      <c r="F126" s="109">
        <f t="shared" ref="F126:I128" si="12">(C120*C$119)</f>
        <v>741075.27885691042</v>
      </c>
      <c r="G126" s="109">
        <f t="shared" si="12"/>
        <v>388501.26510995999</v>
      </c>
      <c r="H126" s="109">
        <f t="shared" si="12"/>
        <v>0</v>
      </c>
      <c r="I126" s="109">
        <f t="shared" si="12"/>
        <v>0</v>
      </c>
    </row>
    <row r="127" spans="1:9" x14ac:dyDescent="0.35">
      <c r="D127" s="108" t="s">
        <v>261</v>
      </c>
      <c r="E127" s="109">
        <f>SUM(F127:I127)</f>
        <v>2941712.0887467777</v>
      </c>
      <c r="F127" s="109">
        <f t="shared" si="12"/>
        <v>988100.371809214</v>
      </c>
      <c r="G127" s="109">
        <f t="shared" si="12"/>
        <v>777002.53021991998</v>
      </c>
      <c r="H127" s="109">
        <f t="shared" si="12"/>
        <v>0</v>
      </c>
      <c r="I127" s="109">
        <f t="shared" si="12"/>
        <v>1176609.1867176436</v>
      </c>
    </row>
    <row r="128" spans="1:9" x14ac:dyDescent="0.35">
      <c r="D128" s="108" t="s">
        <v>262</v>
      </c>
      <c r="E128" s="109">
        <f>SUM(F128:I128)</f>
        <v>4753847.6335266847</v>
      </c>
      <c r="F128" s="109">
        <f t="shared" si="12"/>
        <v>1235125.4647615175</v>
      </c>
      <c r="G128" s="109">
        <f t="shared" si="12"/>
        <v>1165503.79532988</v>
      </c>
      <c r="H128" s="109">
        <f t="shared" si="12"/>
        <v>0</v>
      </c>
      <c r="I128" s="109">
        <f t="shared" si="12"/>
        <v>2353218.3734352873</v>
      </c>
    </row>
    <row r="130" spans="1:9" x14ac:dyDescent="0.35">
      <c r="F130" s="71">
        <f>F126/'Live Output Fx'!$AF$13</f>
        <v>69.898155815318233</v>
      </c>
      <c r="G130" s="71">
        <f>G126/'Live Output Fx'!$AF$13</f>
        <v>36.643405518790125</v>
      </c>
      <c r="H130" s="71">
        <f>H126/'Live Output Fx'!$AF$13</f>
        <v>0</v>
      </c>
      <c r="I130" s="71">
        <f>I126/'Live Output Fx'!$AF$13</f>
        <v>0</v>
      </c>
    </row>
    <row r="131" spans="1:9" x14ac:dyDescent="0.35">
      <c r="A131" s="101" t="s">
        <v>255</v>
      </c>
      <c r="F131" s="71">
        <f>F127/'Live Output Fx'!$AF$13</f>
        <v>93.197541087090983</v>
      </c>
      <c r="G131" s="71">
        <f>G127/'Live Output Fx'!$AF$13</f>
        <v>73.28681103758025</v>
      </c>
      <c r="H131" s="71">
        <f>H127/'Live Output Fx'!$AF$13</f>
        <v>0</v>
      </c>
      <c r="I131" s="71">
        <f>I127/'Live Output Fx'!$AF$13</f>
        <v>110.97767610570163</v>
      </c>
    </row>
    <row r="132" spans="1:9" x14ac:dyDescent="0.35">
      <c r="A132" t="s">
        <v>271</v>
      </c>
      <c r="B132" s="26">
        <v>976054</v>
      </c>
      <c r="F132" s="71">
        <f>F128/'Live Output Fx'!$AF$13</f>
        <v>116.49692635886373</v>
      </c>
      <c r="G132" s="71">
        <f>G128/'Live Output Fx'!$AF$13</f>
        <v>109.93021655637037</v>
      </c>
      <c r="H132" s="71">
        <f>H128/'Live Output Fx'!$AF$13</f>
        <v>0</v>
      </c>
      <c r="I132" s="71">
        <f>I128/'Live Output Fx'!$AF$13</f>
        <v>221.95535221140327</v>
      </c>
    </row>
    <row r="133" spans="1:9" x14ac:dyDescent="0.35">
      <c r="A133" t="s">
        <v>276</v>
      </c>
      <c r="B133" s="26">
        <f>7/12*365</f>
        <v>212.91666666666669</v>
      </c>
      <c r="F133" s="71"/>
      <c r="G133" s="71"/>
      <c r="H133" s="71"/>
      <c r="I133" s="71"/>
    </row>
    <row r="134" spans="1:9" x14ac:dyDescent="0.35">
      <c r="A134" t="s">
        <v>272</v>
      </c>
      <c r="B134" s="26">
        <f>(1-(B133/365))*B132</f>
        <v>406689.16666666663</v>
      </c>
      <c r="F134" s="71"/>
      <c r="G134" s="71"/>
      <c r="H134" s="71"/>
      <c r="I134" s="71"/>
    </row>
    <row r="135" spans="1:9" x14ac:dyDescent="0.35">
      <c r="A135" t="s">
        <v>237</v>
      </c>
      <c r="B135" s="26">
        <f>ROUND(B134*B116,0)</f>
        <v>674832</v>
      </c>
    </row>
    <row r="136" spans="1:9" x14ac:dyDescent="0.35">
      <c r="A136" t="s">
        <v>238</v>
      </c>
      <c r="B136" s="26">
        <f>ROUND(B135*'77427 data (L)'!F31,0)</f>
        <v>1057452</v>
      </c>
      <c r="C136" t="s">
        <v>273</v>
      </c>
    </row>
    <row r="137" spans="1:9" x14ac:dyDescent="0.35">
      <c r="A137" t="s">
        <v>270</v>
      </c>
      <c r="B137">
        <v>30</v>
      </c>
    </row>
    <row r="138" spans="1:9" x14ac:dyDescent="0.35">
      <c r="A138" s="79"/>
      <c r="B138" s="26">
        <f>B136*B137*C138</f>
        <v>475853.39999999997</v>
      </c>
      <c r="C138" s="39">
        <v>1.4999999999999999E-2</v>
      </c>
      <c r="E138" s="26">
        <v>815147.02500000002</v>
      </c>
    </row>
    <row r="139" spans="1:9" x14ac:dyDescent="0.35">
      <c r="A139" s="79"/>
      <c r="B139" s="26">
        <f>B136*B137*C139</f>
        <v>951706.79999999993</v>
      </c>
      <c r="C139" s="39">
        <v>0.03</v>
      </c>
      <c r="E139" s="26">
        <v>1630294.05</v>
      </c>
    </row>
    <row r="140" spans="1:9" x14ac:dyDescent="0.35">
      <c r="B140" s="26">
        <f>B136*B137*C140</f>
        <v>1586178</v>
      </c>
      <c r="C140" s="39">
        <v>0.05</v>
      </c>
      <c r="E140" s="26">
        <v>2445441.0750000002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5CAC-0759-4F6F-869F-8FBFFA0A8631}">
  <sheetPr>
    <tabColor theme="9" tint="0.79998168889431442"/>
  </sheetPr>
  <dimension ref="A1:K54"/>
  <sheetViews>
    <sheetView topLeftCell="A30" zoomScale="120" zoomScaleNormal="120" workbookViewId="0">
      <selection sqref="A1:XFD1048576"/>
    </sheetView>
  </sheetViews>
  <sheetFormatPr defaultRowHeight="14.5" x14ac:dyDescent="0.35"/>
  <cols>
    <col min="1" max="1" width="32.54296875" customWidth="1"/>
    <col min="2" max="5" width="26.1796875" customWidth="1"/>
    <col min="6" max="11" width="26.1796875" style="64" customWidth="1"/>
  </cols>
  <sheetData>
    <row r="1" spans="1:11" ht="38.15" customHeight="1" x14ac:dyDescent="0.35">
      <c r="A1" s="22"/>
      <c r="B1" s="194" t="s">
        <v>127</v>
      </c>
      <c r="C1" s="194"/>
      <c r="D1" s="56"/>
      <c r="E1" s="56"/>
      <c r="F1" s="195" t="s">
        <v>77</v>
      </c>
      <c r="G1" s="195"/>
      <c r="H1" s="195"/>
      <c r="I1" s="195" t="s">
        <v>78</v>
      </c>
      <c r="J1" s="195"/>
      <c r="K1" s="195"/>
    </row>
    <row r="2" spans="1:11" ht="43.5" x14ac:dyDescent="0.35">
      <c r="A2" s="22"/>
      <c r="B2" s="57" t="s">
        <v>79</v>
      </c>
      <c r="C2" s="57" t="s">
        <v>152</v>
      </c>
      <c r="D2" s="57" t="s">
        <v>153</v>
      </c>
      <c r="E2" s="57" t="s">
        <v>80</v>
      </c>
      <c r="F2" s="56" t="s">
        <v>81</v>
      </c>
      <c r="G2" s="56" t="s">
        <v>82</v>
      </c>
      <c r="H2" s="56" t="s">
        <v>83</v>
      </c>
      <c r="I2" s="56" t="s">
        <v>81</v>
      </c>
      <c r="J2" s="56" t="s">
        <v>82</v>
      </c>
      <c r="K2" s="56" t="s">
        <v>83</v>
      </c>
    </row>
    <row r="3" spans="1:11" ht="46.5" customHeight="1" x14ac:dyDescent="0.35">
      <c r="A3" s="58" t="s">
        <v>242</v>
      </c>
      <c r="B3" s="57" t="s">
        <v>84</v>
      </c>
      <c r="C3" s="59">
        <v>3.92</v>
      </c>
      <c r="D3" s="60">
        <v>0.05</v>
      </c>
      <c r="E3" s="61">
        <f>C3/(1-D3)</f>
        <v>4.1263157894736846</v>
      </c>
      <c r="F3" s="62">
        <f t="shared" ref="F3:H6" si="0">($D3+I3)/2</f>
        <v>0.32500000000000001</v>
      </c>
      <c r="G3" s="62">
        <f t="shared" si="0"/>
        <v>0.4</v>
      </c>
      <c r="H3" s="62">
        <f t="shared" si="0"/>
        <v>0.47500000000000003</v>
      </c>
      <c r="I3" s="62">
        <v>0.6</v>
      </c>
      <c r="J3" s="62">
        <v>0.75</v>
      </c>
      <c r="K3" s="62">
        <v>0.9</v>
      </c>
    </row>
    <row r="4" spans="1:11" ht="46.5" customHeight="1" x14ac:dyDescent="0.35">
      <c r="A4" s="58" t="s">
        <v>85</v>
      </c>
      <c r="B4" s="57" t="s">
        <v>86</v>
      </c>
      <c r="C4" s="59">
        <v>6.46</v>
      </c>
      <c r="D4" s="60">
        <v>4.8000000000000001E-2</v>
      </c>
      <c r="E4" s="61">
        <f>C4/(1-D4)</f>
        <v>6.7857142857142856</v>
      </c>
      <c r="F4" s="62">
        <f t="shared" si="0"/>
        <v>0.14899999999999999</v>
      </c>
      <c r="G4" s="62">
        <f t="shared" si="0"/>
        <v>0.27400000000000002</v>
      </c>
      <c r="H4" s="62">
        <f t="shared" si="0"/>
        <v>0.39900000000000002</v>
      </c>
      <c r="I4" s="62">
        <v>0.25</v>
      </c>
      <c r="J4" s="62">
        <v>0.5</v>
      </c>
      <c r="K4" s="62">
        <v>0.75</v>
      </c>
    </row>
    <row r="5" spans="1:11" ht="46.5" customHeight="1" x14ac:dyDescent="0.35">
      <c r="A5" s="58" t="s">
        <v>87</v>
      </c>
      <c r="B5" s="57" t="s">
        <v>253</v>
      </c>
      <c r="C5" s="59">
        <v>2.29</v>
      </c>
      <c r="D5" s="60">
        <v>0.28899999999999998</v>
      </c>
      <c r="E5" s="61">
        <f>C5/(1-D5)</f>
        <v>3.2208157524613217</v>
      </c>
      <c r="F5" s="62">
        <f t="shared" si="0"/>
        <v>0.44450000000000001</v>
      </c>
      <c r="G5" s="62">
        <f t="shared" si="0"/>
        <v>0.51949999999999996</v>
      </c>
      <c r="H5" s="62">
        <f t="shared" si="0"/>
        <v>0.59450000000000003</v>
      </c>
      <c r="I5" s="62">
        <v>0.6</v>
      </c>
      <c r="J5" s="62">
        <v>0.75</v>
      </c>
      <c r="K5" s="62">
        <v>0.9</v>
      </c>
    </row>
    <row r="6" spans="1:11" ht="46.5" customHeight="1" x14ac:dyDescent="0.35">
      <c r="A6" s="58" t="s">
        <v>243</v>
      </c>
      <c r="B6" s="57" t="s">
        <v>246</v>
      </c>
      <c r="C6" s="59">
        <v>4.9400000000000004</v>
      </c>
      <c r="D6" s="60">
        <v>0.104</v>
      </c>
      <c r="E6" s="61">
        <f>C6/(1-D6)</f>
        <v>5.5133928571428577</v>
      </c>
      <c r="F6" s="62">
        <f t="shared" si="0"/>
        <v>0.152</v>
      </c>
      <c r="G6" s="62">
        <f t="shared" si="0"/>
        <v>0.30199999999999999</v>
      </c>
      <c r="H6" s="62">
        <f t="shared" si="0"/>
        <v>0.45200000000000001</v>
      </c>
      <c r="I6" s="62">
        <v>0.2</v>
      </c>
      <c r="J6" s="62">
        <v>0.5</v>
      </c>
      <c r="K6" s="62">
        <v>0.8</v>
      </c>
    </row>
    <row r="7" spans="1:11" s="64" customFormat="1" x14ac:dyDescent="0.35"/>
    <row r="8" spans="1:11" x14ac:dyDescent="0.35">
      <c r="A8" s="22" t="s">
        <v>88</v>
      </c>
      <c r="B8" s="22">
        <v>2019</v>
      </c>
      <c r="C8" s="57">
        <v>2025</v>
      </c>
      <c r="D8" s="63">
        <v>2030</v>
      </c>
      <c r="E8" s="64"/>
      <c r="F8" s="64" t="s">
        <v>126</v>
      </c>
    </row>
    <row r="9" spans="1:11" x14ac:dyDescent="0.35">
      <c r="A9" s="22" t="s">
        <v>89</v>
      </c>
      <c r="B9" s="65">
        <f>C3</f>
        <v>3.92</v>
      </c>
      <c r="C9" s="65">
        <f>D3  + (1-D3)*G3   +  (C3/(1-D3))*(1-G3)*(1-D3)</f>
        <v>2.7820000000000005</v>
      </c>
      <c r="D9" s="65">
        <f>D3  + (1-D3)*J3   +  (C3/(1-D3))*(1-J3)*(1-D3)</f>
        <v>1.7425000000000002</v>
      </c>
      <c r="F9" s="86">
        <f t="shared" ref="F9:K12" si="1">($D3  + (1-$D3)*F3   +  ($C3/(1-$D3))*(1-F3)*(1-$D3))/$B9</f>
        <v>0.76651785714285725</v>
      </c>
      <c r="G9" s="86">
        <f t="shared" si="1"/>
        <v>0.70969387755102054</v>
      </c>
      <c r="H9" s="86">
        <f t="shared" si="1"/>
        <v>0.6528698979591836</v>
      </c>
      <c r="I9" s="86">
        <f t="shared" si="1"/>
        <v>0.55816326530612248</v>
      </c>
      <c r="J9" s="86">
        <f t="shared" si="1"/>
        <v>0.44451530612244905</v>
      </c>
      <c r="K9" s="62">
        <f t="shared" si="1"/>
        <v>0.33086734693877551</v>
      </c>
    </row>
    <row r="10" spans="1:11" x14ac:dyDescent="0.35">
      <c r="A10" s="22" t="s">
        <v>85</v>
      </c>
      <c r="B10" s="65">
        <f>C4</f>
        <v>6.46</v>
      </c>
      <c r="C10" s="65">
        <f>D4  + (1-D4)*G4   +  (C4/(1-D4))*(1-G4)*(1-D4)</f>
        <v>4.9988080000000004</v>
      </c>
      <c r="D10" s="65">
        <f>D4  + (1-D4)*J4   +  (C4/(1-D4))*(1-J4)*(1-D4)</f>
        <v>3.754</v>
      </c>
      <c r="F10" s="86">
        <f t="shared" si="1"/>
        <v>0.88038823529411758</v>
      </c>
      <c r="G10" s="86">
        <f t="shared" si="1"/>
        <v>0.7738092879256967</v>
      </c>
      <c r="H10" s="86">
        <f t="shared" si="1"/>
        <v>0.66723034055727537</v>
      </c>
      <c r="I10" s="86">
        <f t="shared" si="1"/>
        <v>0.79427244582043333</v>
      </c>
      <c r="J10" s="86">
        <f t="shared" si="1"/>
        <v>0.58111455108359134</v>
      </c>
      <c r="K10" s="62">
        <f t="shared" si="1"/>
        <v>0.36795665634674918</v>
      </c>
    </row>
    <row r="11" spans="1:11" x14ac:dyDescent="0.35">
      <c r="A11" s="22" t="s">
        <v>87</v>
      </c>
      <c r="B11" s="65">
        <f>C5</f>
        <v>2.29</v>
      </c>
      <c r="C11" s="65">
        <f>D5  + (1-D5)*G5   +  (C5/(1-D5))*(1-G5)*(1-D5)</f>
        <v>1.7587095000000001</v>
      </c>
      <c r="D11" s="65">
        <f>D5  + (1-D5)*J5   +  (C5/(1-D5))*(1-J5)*(1-D5)</f>
        <v>1.3947499999999999</v>
      </c>
      <c r="F11" s="86">
        <f t="shared" si="1"/>
        <v>0.81970938864628817</v>
      </c>
      <c r="G11" s="86">
        <f t="shared" si="1"/>
        <v>0.76799541484716161</v>
      </c>
      <c r="H11" s="86">
        <f t="shared" si="1"/>
        <v>0.71628144104803493</v>
      </c>
      <c r="I11" s="86">
        <f t="shared" si="1"/>
        <v>0.71248908296943236</v>
      </c>
      <c r="J11" s="86">
        <f t="shared" si="1"/>
        <v>0.60906113537117901</v>
      </c>
      <c r="K11" s="62">
        <f t="shared" si="1"/>
        <v>0.50563318777292576</v>
      </c>
    </row>
    <row r="12" spans="1:11" x14ac:dyDescent="0.35">
      <c r="A12" s="22" t="s">
        <v>6</v>
      </c>
      <c r="B12" s="65">
        <f>C6</f>
        <v>4.9400000000000004</v>
      </c>
      <c r="C12" s="65">
        <f>D6  + (1-D6)*G6   +  (C6/(1-D6))*(1-G6)*(1-D6)</f>
        <v>3.8227119999999997</v>
      </c>
      <c r="D12" s="65">
        <f>D6  + (1-D6)*J6   +  (C6/(1-D6))*(1-J6)*(1-D6)</f>
        <v>3.0220000000000002</v>
      </c>
      <c r="F12" s="86">
        <f t="shared" si="1"/>
        <v>0.89662186234817809</v>
      </c>
      <c r="G12" s="86">
        <f t="shared" si="1"/>
        <v>0.77382834008097157</v>
      </c>
      <c r="H12" s="86">
        <f t="shared" si="1"/>
        <v>0.65103481781376527</v>
      </c>
      <c r="I12" s="86">
        <f t="shared" si="1"/>
        <v>0.85732793522267214</v>
      </c>
      <c r="J12" s="86">
        <f t="shared" si="1"/>
        <v>0.6117408906882591</v>
      </c>
      <c r="K12" s="62">
        <f t="shared" si="1"/>
        <v>0.36615384615384605</v>
      </c>
    </row>
    <row r="14" spans="1:11" x14ac:dyDescent="0.35">
      <c r="A14" s="22" t="s">
        <v>90</v>
      </c>
      <c r="B14" s="22">
        <v>2025</v>
      </c>
      <c r="C14" s="22">
        <v>2030</v>
      </c>
      <c r="H14" s="77"/>
    </row>
    <row r="15" spans="1:11" x14ac:dyDescent="0.35">
      <c r="A15" s="22" t="s">
        <v>89</v>
      </c>
      <c r="B15" s="66">
        <v>0.1</v>
      </c>
      <c r="C15" s="66">
        <v>0.2</v>
      </c>
      <c r="G15" s="58" t="s">
        <v>242</v>
      </c>
      <c r="H15" s="100">
        <f>$C3</f>
        <v>3.92</v>
      </c>
      <c r="I15" s="100">
        <f t="shared" ref="I15:K18" si="2">I9*$C3</f>
        <v>2.1880000000000002</v>
      </c>
      <c r="J15" s="100">
        <f t="shared" si="2"/>
        <v>1.7425000000000002</v>
      </c>
      <c r="K15" s="100">
        <f t="shared" si="2"/>
        <v>1.2969999999999999</v>
      </c>
    </row>
    <row r="16" spans="1:11" x14ac:dyDescent="0.35">
      <c r="A16" s="22" t="s">
        <v>91</v>
      </c>
      <c r="B16" s="66">
        <v>0.05</v>
      </c>
      <c r="C16" s="66">
        <v>0.1</v>
      </c>
      <c r="G16" s="58" t="s">
        <v>85</v>
      </c>
      <c r="H16" s="100">
        <f>$C4</f>
        <v>6.46</v>
      </c>
      <c r="I16" s="100">
        <f t="shared" si="2"/>
        <v>5.1309999999999993</v>
      </c>
      <c r="J16" s="100">
        <f t="shared" si="2"/>
        <v>3.754</v>
      </c>
      <c r="K16" s="100">
        <f t="shared" si="2"/>
        <v>2.3769999999999998</v>
      </c>
    </row>
    <row r="17" spans="1:11" x14ac:dyDescent="0.35">
      <c r="A17" s="22" t="s">
        <v>85</v>
      </c>
      <c r="B17" s="66" t="s">
        <v>92</v>
      </c>
      <c r="C17" s="66" t="s">
        <v>92</v>
      </c>
      <c r="G17" s="58" t="s">
        <v>87</v>
      </c>
      <c r="H17" s="100">
        <f>$C5</f>
        <v>2.29</v>
      </c>
      <c r="I17" s="100">
        <f t="shared" si="2"/>
        <v>1.6316000000000002</v>
      </c>
      <c r="J17" s="100">
        <f t="shared" si="2"/>
        <v>1.3947499999999999</v>
      </c>
      <c r="K17" s="100">
        <f t="shared" si="2"/>
        <v>1.1578999999999999</v>
      </c>
    </row>
    <row r="18" spans="1:11" x14ac:dyDescent="0.35">
      <c r="A18" s="22" t="s">
        <v>87</v>
      </c>
      <c r="B18" s="22" t="s">
        <v>92</v>
      </c>
      <c r="C18" s="22" t="s">
        <v>92</v>
      </c>
      <c r="G18" s="58" t="s">
        <v>243</v>
      </c>
      <c r="H18" s="100">
        <f>$C6</f>
        <v>4.9400000000000004</v>
      </c>
      <c r="I18" s="100">
        <f t="shared" si="2"/>
        <v>4.2352000000000007</v>
      </c>
      <c r="J18" s="100">
        <f t="shared" si="2"/>
        <v>3.0220000000000002</v>
      </c>
      <c r="K18" s="100">
        <f t="shared" si="2"/>
        <v>1.8087999999999997</v>
      </c>
    </row>
    <row r="19" spans="1:11" x14ac:dyDescent="0.35">
      <c r="A19" s="22" t="s">
        <v>93</v>
      </c>
      <c r="B19" s="22" t="s">
        <v>92</v>
      </c>
      <c r="C19" s="22" t="s">
        <v>92</v>
      </c>
      <c r="H19" s="78"/>
      <c r="I19" s="100">
        <f>$H18-I18</f>
        <v>0.70479999999999965</v>
      </c>
      <c r="J19" s="100">
        <f>$H18-J18</f>
        <v>1.9180000000000001</v>
      </c>
      <c r="K19" s="100">
        <f>$H18-K18</f>
        <v>3.1312000000000006</v>
      </c>
    </row>
    <row r="21" spans="1:11" x14ac:dyDescent="0.35">
      <c r="A21" s="67"/>
      <c r="B21" t="s">
        <v>128</v>
      </c>
      <c r="C21" t="s">
        <v>94</v>
      </c>
      <c r="D21" t="s">
        <v>95</v>
      </c>
    </row>
    <row r="22" spans="1:11" x14ac:dyDescent="0.35">
      <c r="A22" s="68" t="s">
        <v>129</v>
      </c>
      <c r="B22" s="69">
        <v>187054</v>
      </c>
      <c r="C22" s="69">
        <v>36974</v>
      </c>
      <c r="D22" s="70">
        <f>(B22+C22)/B22</f>
        <v>1.1976648454457002</v>
      </c>
    </row>
    <row r="23" spans="1:11" x14ac:dyDescent="0.35">
      <c r="A23" s="68" t="s">
        <v>130</v>
      </c>
      <c r="B23" s="69">
        <v>174473</v>
      </c>
      <c r="C23" s="69">
        <v>33805</v>
      </c>
      <c r="D23" s="70">
        <f>(B23+C23)/B23</f>
        <v>1.1937549076361385</v>
      </c>
    </row>
    <row r="25" spans="1:11" x14ac:dyDescent="0.35">
      <c r="A25" s="68" t="s">
        <v>96</v>
      </c>
      <c r="B25" t="s">
        <v>108</v>
      </c>
      <c r="C25" t="s">
        <v>97</v>
      </c>
      <c r="D25" t="s">
        <v>104</v>
      </c>
      <c r="E25" t="s">
        <v>105</v>
      </c>
      <c r="F25" t="s">
        <v>98</v>
      </c>
      <c r="G25" s="64" t="s">
        <v>254</v>
      </c>
    </row>
    <row r="26" spans="1:11" x14ac:dyDescent="0.35">
      <c r="A26" t="s">
        <v>99</v>
      </c>
      <c r="B26" s="69">
        <v>20332.490000000202</v>
      </c>
      <c r="C26" s="69">
        <v>6477.0200000004897</v>
      </c>
      <c r="D26" s="71"/>
      <c r="E26" s="69">
        <f t="shared" ref="E26:E31" si="3">C26*D$31</f>
        <v>11045.164531784554</v>
      </c>
      <c r="F26" s="70">
        <f t="shared" ref="F26:F31" si="4">(B26+E26)/B26</f>
        <v>1.5432273436152899</v>
      </c>
      <c r="G26" s="97">
        <f t="shared" ref="G26:G31" si="5">E26/(B26+E26)</f>
        <v>0.35200733441041893</v>
      </c>
    </row>
    <row r="27" spans="1:11" x14ac:dyDescent="0.35">
      <c r="A27" t="s">
        <v>100</v>
      </c>
      <c r="B27" s="69">
        <v>1209.3799999999985</v>
      </c>
      <c r="C27" s="69">
        <v>660.07000000000801</v>
      </c>
      <c r="E27" s="69">
        <f t="shared" si="3"/>
        <v>1125.6074170675045</v>
      </c>
      <c r="F27" s="70">
        <f t="shared" si="4"/>
        <v>1.9307309671629314</v>
      </c>
      <c r="G27" s="97">
        <f t="shared" si="5"/>
        <v>0.48206144874268669</v>
      </c>
    </row>
    <row r="28" spans="1:11" x14ac:dyDescent="0.35">
      <c r="A28" t="s">
        <v>85</v>
      </c>
      <c r="B28" s="69">
        <v>19617.960000000217</v>
      </c>
      <c r="C28" s="69">
        <v>8630.7700000009809</v>
      </c>
      <c r="E28" s="69">
        <f t="shared" si="3"/>
        <v>14717.921927984442</v>
      </c>
      <c r="F28" s="70">
        <f t="shared" si="4"/>
        <v>1.7502269312397556</v>
      </c>
      <c r="G28" s="97">
        <f t="shared" si="5"/>
        <v>0.42864551896041275</v>
      </c>
    </row>
    <row r="29" spans="1:11" x14ac:dyDescent="0.35">
      <c r="A29" t="s">
        <v>101</v>
      </c>
      <c r="B29" s="69">
        <v>17989.050000000101</v>
      </c>
      <c r="C29" s="69">
        <v>1576.52</v>
      </c>
      <c r="E29" s="69">
        <f t="shared" si="3"/>
        <v>2688.4157818947087</v>
      </c>
      <c r="F29" s="70">
        <f t="shared" si="4"/>
        <v>1.1494473461297119</v>
      </c>
      <c r="G29" s="97">
        <f t="shared" si="5"/>
        <v>0.13001669596516444</v>
      </c>
    </row>
    <row r="30" spans="1:11" x14ac:dyDescent="0.35">
      <c r="A30" t="s">
        <v>102</v>
      </c>
      <c r="B30" s="69">
        <f>B31-SUM(B26:B29)</f>
        <v>49391.030000000479</v>
      </c>
      <c r="C30" s="69">
        <v>18743.790000000579</v>
      </c>
      <c r="E30" s="69">
        <f t="shared" si="3"/>
        <v>31963.50242846382</v>
      </c>
      <c r="F30" s="70">
        <f t="shared" si="4"/>
        <v>1.64715197128838</v>
      </c>
      <c r="G30" s="97">
        <f t="shared" si="5"/>
        <v>0.39289147727042234</v>
      </c>
    </row>
    <row r="31" spans="1:11" s="64" customFormat="1" x14ac:dyDescent="0.35">
      <c r="A31" t="s">
        <v>103</v>
      </c>
      <c r="B31" s="69">
        <v>108539.91000000099</v>
      </c>
      <c r="C31" s="69">
        <v>36088.170000002057</v>
      </c>
      <c r="D31" s="72">
        <f>(B31*'Live Output Fx'!L25/('Live Output Fx'!L23+'Live Output Fx'!L24))/C31</f>
        <v>1.7052849198834832</v>
      </c>
      <c r="E31" s="69">
        <f t="shared" si="3"/>
        <v>61540.612087195033</v>
      </c>
      <c r="F31" s="70">
        <f t="shared" si="4"/>
        <v>1.566986024653922</v>
      </c>
      <c r="G31" s="97">
        <f t="shared" si="5"/>
        <v>0.36183221530590493</v>
      </c>
    </row>
    <row r="32" spans="1:11" x14ac:dyDescent="0.35">
      <c r="E32" s="74"/>
    </row>
    <row r="33" spans="1:11" s="64" customFormat="1" x14ac:dyDescent="0.35">
      <c r="A33" s="73" t="s">
        <v>106</v>
      </c>
      <c r="B33" s="69" t="s">
        <v>245</v>
      </c>
      <c r="C33" s="69" t="s">
        <v>24</v>
      </c>
      <c r="D33" s="72" t="s">
        <v>107</v>
      </c>
      <c r="E33" s="64" t="s">
        <v>9</v>
      </c>
      <c r="F33" s="64" t="s">
        <v>120</v>
      </c>
      <c r="G33" s="64" t="s">
        <v>122</v>
      </c>
      <c r="H33" s="64" t="s">
        <v>123</v>
      </c>
      <c r="I33" s="64" t="s">
        <v>121</v>
      </c>
      <c r="J33" s="64" t="s">
        <v>124</v>
      </c>
      <c r="K33" s="64" t="s">
        <v>125</v>
      </c>
    </row>
    <row r="34" spans="1:11" x14ac:dyDescent="0.35">
      <c r="A34" t="s">
        <v>99</v>
      </c>
      <c r="B34" s="83">
        <v>21421</v>
      </c>
      <c r="C34" s="26">
        <f>B34*(('Live Output Fx'!$H$15+'Live Output Fx'!$H$16)/'Live Output Fx'!$H$15)</f>
        <v>34050.372246624538</v>
      </c>
      <c r="D34" s="26">
        <f>C34*F26</f>
        <v>52547.46551127018</v>
      </c>
      <c r="E34" s="69">
        <f>D34*C3*E41</f>
        <v>694173.03839008359</v>
      </c>
      <c r="F34" s="76">
        <f t="shared" ref="F34:K34" si="6">$E34*(1-F9)</f>
        <v>162077.00851697032</v>
      </c>
      <c r="G34" s="76">
        <f t="shared" si="6"/>
        <v>201522.68308365173</v>
      </c>
      <c r="H34" s="76">
        <f t="shared" si="6"/>
        <v>240968.35765033329</v>
      </c>
      <c r="I34" s="76">
        <f t="shared" si="6"/>
        <v>306711.14859480225</v>
      </c>
      <c r="J34" s="76">
        <f t="shared" si="6"/>
        <v>385602.49772816501</v>
      </c>
      <c r="K34" s="76">
        <f t="shared" si="6"/>
        <v>464493.84686152788</v>
      </c>
    </row>
    <row r="35" spans="1:11" x14ac:dyDescent="0.35">
      <c r="A35" t="s">
        <v>100</v>
      </c>
      <c r="B35" s="83"/>
      <c r="C35" s="26">
        <f>B35*(('Live Output Fx'!$H$15+'Live Output Fx'!$H$16)/'Live Output Fx'!$H$15)</f>
        <v>0</v>
      </c>
      <c r="D35" s="26">
        <f>C35*F27</f>
        <v>0</v>
      </c>
      <c r="E35" s="69"/>
      <c r="F35" s="76"/>
    </row>
    <row r="36" spans="1:11" x14ac:dyDescent="0.35">
      <c r="A36" t="s">
        <v>85</v>
      </c>
      <c r="B36" s="83">
        <v>24381</v>
      </c>
      <c r="C36" s="26">
        <f>B36*(('Live Output Fx'!$H$15+'Live Output Fx'!$H$16)/'Live Output Fx'!$H$15)</f>
        <v>38755.526154005551</v>
      </c>
      <c r="D36" s="26">
        <f>C36*F28</f>
        <v>67830.965609107225</v>
      </c>
      <c r="E36" s="69">
        <f>D36*C4*E41</f>
        <v>1476693.6875033861</v>
      </c>
      <c r="F36" s="76">
        <f t="shared" ref="F36:K38" si="7">$E36*(1-F10)</f>
        <v>176629.93789231687</v>
      </c>
      <c r="G36" s="76">
        <f t="shared" si="7"/>
        <v>334014.3966920196</v>
      </c>
      <c r="H36" s="76">
        <f t="shared" si="7"/>
        <v>491398.85549172299</v>
      </c>
      <c r="I36" s="76">
        <f t="shared" si="7"/>
        <v>303796.58060247696</v>
      </c>
      <c r="J36" s="76">
        <f t="shared" si="7"/>
        <v>618565.49820188282</v>
      </c>
      <c r="K36" s="76">
        <f t="shared" si="7"/>
        <v>933334.41580128891</v>
      </c>
    </row>
    <row r="37" spans="1:11" x14ac:dyDescent="0.35">
      <c r="A37" t="s">
        <v>101</v>
      </c>
      <c r="B37" s="83">
        <v>24500</v>
      </c>
      <c r="C37" s="26">
        <f>B37*(('Live Output Fx'!$H$15+'Live Output Fx'!$H$16)/'Live Output Fx'!$H$15)</f>
        <v>38944.686057714447</v>
      </c>
      <c r="D37" s="26">
        <f>C37*F29</f>
        <v>44764.866034894665</v>
      </c>
      <c r="E37" s="69">
        <f>D37*C5*E41</f>
        <v>345463.90065109258</v>
      </c>
      <c r="F37" s="76">
        <f t="shared" si="7"/>
        <v>62283.897849023444</v>
      </c>
      <c r="G37" s="76">
        <f t="shared" si="7"/>
        <v>80149.208955838112</v>
      </c>
      <c r="H37" s="76">
        <f t="shared" si="7"/>
        <v>98014.520062652809</v>
      </c>
      <c r="I37" s="76">
        <f t="shared" si="7"/>
        <v>99324.642877152539</v>
      </c>
      <c r="J37" s="76">
        <f t="shared" si="7"/>
        <v>135055.26509078193</v>
      </c>
      <c r="K37" s="76">
        <f t="shared" si="7"/>
        <v>170785.88730441133</v>
      </c>
    </row>
    <row r="38" spans="1:11" x14ac:dyDescent="0.35">
      <c r="A38" t="s">
        <v>102</v>
      </c>
      <c r="B38" s="83">
        <v>58843</v>
      </c>
      <c r="C38" s="26">
        <f>B38*(('Live Output Fx'!$H$15+'Live Output Fx'!$H$16)/'Live Output Fx'!$H$15)</f>
        <v>93535.598436493528</v>
      </c>
      <c r="D38" s="26">
        <f>C38*F30</f>
        <v>154067.34535030863</v>
      </c>
      <c r="E38" s="69">
        <f>D38*C6*E41</f>
        <v>2564882.3519228683</v>
      </c>
      <c r="F38" s="76">
        <f t="shared" si="7"/>
        <v>265152.76083781099</v>
      </c>
      <c r="G38" s="76">
        <f t="shared" si="7"/>
        <v>580103.69903141679</v>
      </c>
      <c r="H38" s="76">
        <f t="shared" si="7"/>
        <v>895054.63722502196</v>
      </c>
      <c r="I38" s="76">
        <f t="shared" si="7"/>
        <v>365937.06105976447</v>
      </c>
      <c r="J38" s="76">
        <f t="shared" si="7"/>
        <v>995838.93744697596</v>
      </c>
      <c r="K38" s="76">
        <f t="shared" si="7"/>
        <v>1625740.8138341876</v>
      </c>
    </row>
    <row r="39" spans="1:11" x14ac:dyDescent="0.35">
      <c r="A39" t="s">
        <v>103</v>
      </c>
      <c r="B39" s="26"/>
      <c r="C39" s="26"/>
      <c r="D39" s="26"/>
    </row>
    <row r="41" spans="1:11" x14ac:dyDescent="0.35">
      <c r="B41" s="26"/>
      <c r="D41" t="s">
        <v>119</v>
      </c>
      <c r="E41">
        <v>3.37</v>
      </c>
    </row>
    <row r="42" spans="1:11" x14ac:dyDescent="0.35">
      <c r="B42" s="26"/>
    </row>
    <row r="43" spans="1:11" x14ac:dyDescent="0.35">
      <c r="B43" s="26"/>
    </row>
    <row r="44" spans="1:11" x14ac:dyDescent="0.35">
      <c r="B44" s="26"/>
    </row>
    <row r="45" spans="1:11" x14ac:dyDescent="0.35">
      <c r="B45" s="26"/>
    </row>
    <row r="49" spans="2:2" x14ac:dyDescent="0.35">
      <c r="B49" s="26"/>
    </row>
    <row r="50" spans="2:2" x14ac:dyDescent="0.35">
      <c r="B50" s="25"/>
    </row>
    <row r="51" spans="2:2" x14ac:dyDescent="0.35">
      <c r="B51" s="71"/>
    </row>
    <row r="52" spans="2:2" x14ac:dyDescent="0.35">
      <c r="B52" s="75"/>
    </row>
    <row r="53" spans="2:2" x14ac:dyDescent="0.35">
      <c r="B53" s="26"/>
    </row>
    <row r="54" spans="2:2" x14ac:dyDescent="0.35">
      <c r="B54" s="26"/>
    </row>
  </sheetData>
  <mergeCells count="3">
    <mergeCell ref="B1:C1"/>
    <mergeCell ref="F1:H1"/>
    <mergeCell ref="I1:K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3570-D2C4-4623-B146-2A62ABD57150}">
  <sheetPr>
    <tabColor theme="9" tint="0.79998168889431442"/>
  </sheetPr>
  <dimension ref="A2:L13"/>
  <sheetViews>
    <sheetView zoomScale="80" zoomScaleNormal="80" workbookViewId="0">
      <selection sqref="A1:XFD1048576"/>
    </sheetView>
  </sheetViews>
  <sheetFormatPr defaultRowHeight="14.5" x14ac:dyDescent="0.35"/>
  <cols>
    <col min="1" max="1" width="64" customWidth="1"/>
  </cols>
  <sheetData>
    <row r="2" spans="1:12" ht="26" x14ac:dyDescent="0.35">
      <c r="B2" s="167" t="s">
        <v>41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26" x14ac:dyDescent="0.6">
      <c r="B3" s="5"/>
      <c r="C3" s="169" t="s">
        <v>9</v>
      </c>
      <c r="D3" s="170"/>
      <c r="E3" s="171"/>
      <c r="F3" s="171"/>
      <c r="G3" s="171"/>
      <c r="H3" s="171"/>
      <c r="I3" s="5"/>
      <c r="J3" s="169" t="s">
        <v>7</v>
      </c>
      <c r="K3" s="169"/>
      <c r="L3" s="170"/>
    </row>
    <row r="4" spans="1:12" x14ac:dyDescent="0.35">
      <c r="B4" s="2"/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/>
      <c r="J4" s="3">
        <v>2025</v>
      </c>
      <c r="K4" s="3"/>
      <c r="L4" s="3">
        <v>2030</v>
      </c>
    </row>
    <row r="5" spans="1:12" x14ac:dyDescent="0.35">
      <c r="B5" s="7" t="s">
        <v>0</v>
      </c>
      <c r="C5" s="19">
        <v>4424</v>
      </c>
      <c r="D5" s="19">
        <f>C5-C7+D6</f>
        <v>4503</v>
      </c>
      <c r="E5" s="19">
        <f>D5-D7+E6</f>
        <v>4608</v>
      </c>
      <c r="F5" s="19">
        <f>E5-E7+F6</f>
        <v>4649</v>
      </c>
      <c r="G5" s="19">
        <f>F5-F7+G6</f>
        <v>4691</v>
      </c>
      <c r="H5" s="19">
        <f>G5-G7+H6</f>
        <v>4718</v>
      </c>
      <c r="I5" s="9"/>
      <c r="J5" s="19">
        <f>H5-J7+J6</f>
        <v>4909</v>
      </c>
      <c r="K5" s="9"/>
      <c r="L5" s="19">
        <f>J5-L7+L6</f>
        <v>5057</v>
      </c>
    </row>
    <row r="6" spans="1:12" x14ac:dyDescent="0.35">
      <c r="B6" s="7" t="s">
        <v>1</v>
      </c>
      <c r="C6" s="8">
        <v>251</v>
      </c>
      <c r="D6" s="8">
        <v>226</v>
      </c>
      <c r="E6" s="8">
        <v>214</v>
      </c>
      <c r="F6" s="8">
        <v>191</v>
      </c>
      <c r="G6" s="8">
        <v>196</v>
      </c>
      <c r="H6" s="8">
        <v>223</v>
      </c>
      <c r="I6" s="9"/>
      <c r="J6" s="8">
        <f>187+203+194+209+190</f>
        <v>983</v>
      </c>
      <c r="K6" s="9"/>
      <c r="L6" s="8">
        <f>193+185+(189*3)</f>
        <v>945</v>
      </c>
    </row>
    <row r="7" spans="1:12" x14ac:dyDescent="0.35">
      <c r="B7" s="7" t="s">
        <v>2</v>
      </c>
      <c r="C7" s="8">
        <v>147</v>
      </c>
      <c r="D7" s="8">
        <v>109</v>
      </c>
      <c r="E7" s="8">
        <v>150</v>
      </c>
      <c r="F7" s="8">
        <v>154</v>
      </c>
      <c r="G7" s="8">
        <v>196</v>
      </c>
      <c r="H7" s="8" t="s">
        <v>3</v>
      </c>
      <c r="I7" s="9"/>
      <c r="J7" s="8">
        <f>IF('Live Output Fx'!$E26=$A9,B9,IF('Live Output Fx'!$E26=$A10,B10, IF('Live Output Fx'!$E26=$A11,B11, IF('Live Output Fx'!$E26=$A12,B12, IF('Live Output Fx'!$E26=$A13,B13,"")))))</f>
        <v>792</v>
      </c>
      <c r="K7" s="9"/>
      <c r="L7" s="8">
        <f>IF('Live Output Fx'!$E26=$A9,C9,IF('Live Output Fx'!$E26=$A10,C10, IF('Live Output Fx'!$E26=$A11,C11, IF('Live Output Fx'!$E26=$A12,C12, IF('Live Output Fx'!$E26=$A13,C13,"")))))</f>
        <v>797</v>
      </c>
    </row>
    <row r="8" spans="1:12" x14ac:dyDescent="0.35">
      <c r="G8">
        <f>G5/C5</f>
        <v>1.0603526220614827</v>
      </c>
      <c r="H8">
        <f>H5/C5</f>
        <v>1.0664556962025316</v>
      </c>
      <c r="J8">
        <f>J5/H5</f>
        <v>1.0404832556167867</v>
      </c>
      <c r="L8">
        <f>L5/J5</f>
        <v>1.030148706457527</v>
      </c>
    </row>
    <row r="9" spans="1:12" x14ac:dyDescent="0.35">
      <c r="A9" t="s">
        <v>72</v>
      </c>
      <c r="B9">
        <v>792</v>
      </c>
      <c r="C9">
        <v>797</v>
      </c>
      <c r="G9" s="26">
        <f>G5-C5</f>
        <v>267</v>
      </c>
      <c r="H9" s="26">
        <f>H5-C5</f>
        <v>294</v>
      </c>
    </row>
    <row r="10" spans="1:12" x14ac:dyDescent="0.35">
      <c r="A10" t="s">
        <v>73</v>
      </c>
      <c r="B10">
        <v>989</v>
      </c>
      <c r="C10">
        <v>893</v>
      </c>
    </row>
    <row r="11" spans="1:12" x14ac:dyDescent="0.35">
      <c r="A11" t="s">
        <v>74</v>
      </c>
      <c r="B11">
        <v>871</v>
      </c>
      <c r="C11">
        <v>840</v>
      </c>
    </row>
    <row r="12" spans="1:12" x14ac:dyDescent="0.35">
      <c r="A12" t="s">
        <v>75</v>
      </c>
      <c r="B12">
        <v>713</v>
      </c>
      <c r="C12">
        <v>747</v>
      </c>
    </row>
    <row r="13" spans="1:12" x14ac:dyDescent="0.35">
      <c r="A13" t="s">
        <v>76</v>
      </c>
      <c r="B13">
        <v>595</v>
      </c>
      <c r="C13">
        <v>660</v>
      </c>
    </row>
  </sheetData>
  <mergeCells count="3">
    <mergeCell ref="B2:L2"/>
    <mergeCell ref="C3:H3"/>
    <mergeCell ref="J3:L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CB55-9311-424F-B2A0-BF89D8B3F142}">
  <sheetPr>
    <tabColor theme="9" tint="0.79998168889431442"/>
  </sheetPr>
  <dimension ref="A2:R21"/>
  <sheetViews>
    <sheetView workbookViewId="0">
      <selection sqref="A1:XFD1048576"/>
    </sheetView>
  </sheetViews>
  <sheetFormatPr defaultRowHeight="14.5" x14ac:dyDescent="0.35"/>
  <cols>
    <col min="1" max="1" width="55.453125" customWidth="1"/>
  </cols>
  <sheetData>
    <row r="2" spans="1:18" x14ac:dyDescent="0.35">
      <c r="A2" t="s">
        <v>33</v>
      </c>
      <c r="B2" s="26">
        <f>IF('Live Output Fx'!$D26=$A12,B12,IF('Live Output Fx'!$D26=$A13,B13, IF('Live Output Fx'!$D26=$A14,B14, IF('Live Output Fx'!$D26=$A15,B15, IF('Live Output Fx'!$D26=$A16,B16,"")))))</f>
        <v>9789.5982547883941</v>
      </c>
      <c r="C2" s="26">
        <f>IF('Live Output Fx'!$D26=$A12,C12,IF('Live Output Fx'!$D26=$A13,C13, IF('Live Output Fx'!$D26=$A14,C14, IF('Live Output Fx'!$D26=$A15,C15, IF('Live Output Fx'!$D26=$A16,C16,"")))))</f>
        <v>9801.0361174523405</v>
      </c>
      <c r="D2" s="26">
        <f>IF('Live Output Fx'!$D26=$A12,D12,IF('Live Output Fx'!$D26=$A13,D13, IF('Live Output Fx'!$D26=$A14,D14, IF('Live Output Fx'!$D26=$A15,D15, IF('Live Output Fx'!$D26=$A16,D16,"")))))</f>
        <v>9698.0350313784566</v>
      </c>
      <c r="E2" s="26">
        <f>IF('Live Output Fx'!$D26=$A12,E12,IF('Live Output Fx'!$D26=$A13,E13, IF('Live Output Fx'!$D26=$A14,E14, IF('Live Output Fx'!$D26=$A15,E15, IF('Live Output Fx'!$D26=$A16,E16,"")))))</f>
        <v>9804.5714545700066</v>
      </c>
      <c r="F2" s="26">
        <f>IF('Live Output Fx'!$D26=$A12,F12,IF('Live Output Fx'!$D26=$A13,F13, IF('Live Output Fx'!$D26=$A14,F14, IF('Live Output Fx'!$D26=$A15,F15, IF('Live Output Fx'!$D26=$A16,F16,"")))))</f>
        <v>10000</v>
      </c>
      <c r="G2" s="26">
        <f>IF('Live Output Fx'!$D26=$A12,G12,IF('Live Output Fx'!$D26=$A13,G13, IF('Live Output Fx'!$D26=$A14,G14, IF('Live Output Fx'!$D26=$A15,G15, IF('Live Output Fx'!$D26=$A16,G16,"")))))</f>
        <v>10053.303242913109</v>
      </c>
      <c r="H2" s="26">
        <f>IF('Live Output Fx'!$D26=$A12,H12,IF('Live Output Fx'!$D26=$A13,H13, IF('Live Output Fx'!$D26=$A14,H14, IF('Live Output Fx'!$D26=$A15,H15, IF('Live Output Fx'!$D26=$A16,H16,"")))))</f>
        <v>10106.890609396723</v>
      </c>
      <c r="I2" s="26">
        <f>IF('Live Output Fx'!$D26=$A12,I12,IF('Live Output Fx'!$D26=$A13,I13, IF('Live Output Fx'!$D26=$A14,I14, IF('Live Output Fx'!$D26=$A15,I15, IF('Live Output Fx'!$D26=$A16,I16,"")))))</f>
        <v>10160.763613921614</v>
      </c>
      <c r="J2" s="26">
        <f>IF('Live Output Fx'!$D26=$A12,J12,IF('Live Output Fx'!$D26=$A13,J13, IF('Live Output Fx'!$D26=$A14,J14, IF('Live Output Fx'!$D26=$A15,J15, IF('Live Output Fx'!$D26=$A16,J16,"")))))</f>
        <v>10214.923779031169</v>
      </c>
      <c r="K2" s="26">
        <f>IF('Live Output Fx'!$D26=$A12,K12,IF('Live Output Fx'!$D26=$A13,K13, IF('Live Output Fx'!$D26=$A14,K14, IF('Live Output Fx'!$D26=$A15,K15, IF('Live Output Fx'!$D26=$A16,K16,"")))))</f>
        <v>10269.372635384429</v>
      </c>
      <c r="L2" s="26">
        <f>IF('Live Output Fx'!$D26=$A12,L12,IF('Live Output Fx'!$D26=$A13,L13, IF('Live Output Fx'!$D26=$A14,L14, IF('Live Output Fx'!$D26=$A15,L15, IF('Live Output Fx'!$D26=$A16,L16,"")))))</f>
        <v>10324.111721799347</v>
      </c>
      <c r="M2" s="26">
        <f>IF('Live Output Fx'!$D26=$A12,M12,IF('Live Output Fx'!$D26=$A13,M13, IF('Live Output Fx'!$D26=$A14,M14, IF('Live Output Fx'!$D26=$A15,M15, IF('Live Output Fx'!$D26=$A16,M16,"")))))</f>
        <v>10379.142585296262</v>
      </c>
      <c r="N2" s="26">
        <f>IF('Live Output Fx'!$D26=$A12,N12,IF('Live Output Fx'!$D26=$A13,N13, IF('Live Output Fx'!$D26=$A14,N14, IF('Live Output Fx'!$D26=$A15,N15, IF('Live Output Fx'!$D26=$A16,N16,"")))))</f>
        <v>10434.466781141648</v>
      </c>
      <c r="O2" s="26">
        <f>IF('Live Output Fx'!$D26=$A12,O12,IF('Live Output Fx'!$D26=$A13,O13, IF('Live Output Fx'!$D26=$A14,O14, IF('Live Output Fx'!$D26=$A15,O15, IF('Live Output Fx'!$D26=$A16,O16,"")))))</f>
        <v>10490.085872892045</v>
      </c>
      <c r="P2" s="26">
        <f>IF('Live Output Fx'!$D26=$A12,P12,IF('Live Output Fx'!$D26=$A13,P13, IF('Live Output Fx'!$D26=$A14,P14, IF('Live Output Fx'!$D26=$A15,P15, IF('Live Output Fx'!$D26=$A16,P16,"")))))</f>
        <v>10546.001432438259</v>
      </c>
      <c r="Q2" s="26">
        <f>IF('Live Output Fx'!$D26=$A12,Q12,IF('Live Output Fx'!$D26=$A13,Q13, IF('Live Output Fx'!$D26=$A14,Q14, IF('Live Output Fx'!$D26=$A15,Q15, IF('Live Output Fx'!$D26=$A16,Q16,"")))))</f>
        <v>10602.215040049787</v>
      </c>
    </row>
    <row r="4" spans="1:18" x14ac:dyDescent="0.35">
      <c r="B4" s="15">
        <v>2015</v>
      </c>
      <c r="C4" s="15">
        <v>2016</v>
      </c>
      <c r="D4" s="15">
        <v>2017</v>
      </c>
      <c r="E4" s="15">
        <v>2018</v>
      </c>
      <c r="F4" s="15">
        <v>2019</v>
      </c>
      <c r="G4" s="16"/>
      <c r="H4" s="16"/>
      <c r="I4" s="17">
        <v>2025</v>
      </c>
      <c r="J4" s="16"/>
      <c r="K4" s="17">
        <v>2030</v>
      </c>
    </row>
    <row r="5" spans="1:18" x14ac:dyDescent="0.35">
      <c r="A5" t="s">
        <v>28</v>
      </c>
    </row>
    <row r="6" spans="1:18" x14ac:dyDescent="0.35">
      <c r="A6" t="s">
        <v>29</v>
      </c>
      <c r="B6" s="32">
        <f>'Live Output Fx'!D19</f>
        <v>9789.5982547883941</v>
      </c>
      <c r="C6" s="32">
        <f>'Live Output Fx'!E19</f>
        <v>9801.0361174523405</v>
      </c>
      <c r="D6" s="32">
        <f>'Live Output Fx'!F19</f>
        <v>9698.0350313784566</v>
      </c>
      <c r="E6" s="32">
        <f>'Live Output Fx'!G19</f>
        <v>9804.5714545700066</v>
      </c>
      <c r="F6" s="32">
        <f>'Live Output Fx'!H19</f>
        <v>10000</v>
      </c>
      <c r="H6" s="33">
        <f>(F6/B6)^(1/4)-1</f>
        <v>5.3303242913109727E-3</v>
      </c>
      <c r="I6" s="32">
        <f>F6*((1+H6)^6)</f>
        <v>10324.111721799347</v>
      </c>
      <c r="J6" s="32"/>
      <c r="K6" s="32">
        <f>I6*((1+H6)^5)</f>
        <v>10602.215040049787</v>
      </c>
    </row>
    <row r="7" spans="1:18" x14ac:dyDescent="0.35">
      <c r="A7" t="s">
        <v>31</v>
      </c>
    </row>
    <row r="8" spans="1:18" x14ac:dyDescent="0.35">
      <c r="A8" t="s">
        <v>32</v>
      </c>
    </row>
    <row r="9" spans="1:18" x14ac:dyDescent="0.35">
      <c r="A9" t="s">
        <v>30</v>
      </c>
    </row>
    <row r="11" spans="1:18" x14ac:dyDescent="0.35">
      <c r="A11" s="22"/>
      <c r="B11" s="22">
        <v>2015</v>
      </c>
      <c r="C11" s="22">
        <v>2016</v>
      </c>
      <c r="D11" s="22">
        <v>2017</v>
      </c>
      <c r="E11" s="22">
        <v>2018</v>
      </c>
      <c r="F11" s="22">
        <v>2019</v>
      </c>
      <c r="G11" s="22">
        <v>2020</v>
      </c>
      <c r="H11" s="22">
        <v>2021</v>
      </c>
      <c r="I11" s="22">
        <v>2022</v>
      </c>
      <c r="J11" s="22">
        <v>2023</v>
      </c>
      <c r="K11" s="22">
        <v>2024</v>
      </c>
      <c r="L11" s="22">
        <v>2025</v>
      </c>
      <c r="M11" s="22">
        <v>2026</v>
      </c>
      <c r="N11" s="22">
        <v>2027</v>
      </c>
      <c r="O11" s="22">
        <v>2028</v>
      </c>
      <c r="P11" s="22">
        <v>2029</v>
      </c>
      <c r="Q11" s="22">
        <v>2030</v>
      </c>
    </row>
    <row r="12" spans="1:18" x14ac:dyDescent="0.35">
      <c r="A12" s="22" t="s">
        <v>36</v>
      </c>
      <c r="B12" s="23">
        <f>'Live Output Fx'!H22</f>
        <v>10000</v>
      </c>
      <c r="C12" s="23">
        <f t="shared" ref="C12:Q12" si="0">B12</f>
        <v>10000</v>
      </c>
      <c r="D12" s="23">
        <f t="shared" si="0"/>
        <v>10000</v>
      </c>
      <c r="E12" s="23">
        <f t="shared" si="0"/>
        <v>10000</v>
      </c>
      <c r="F12" s="23">
        <f t="shared" si="0"/>
        <v>10000</v>
      </c>
      <c r="G12" s="23">
        <f t="shared" si="0"/>
        <v>10000</v>
      </c>
      <c r="H12" s="23">
        <f t="shared" si="0"/>
        <v>10000</v>
      </c>
      <c r="I12" s="23">
        <f t="shared" si="0"/>
        <v>10000</v>
      </c>
      <c r="J12" s="23">
        <f t="shared" si="0"/>
        <v>10000</v>
      </c>
      <c r="K12" s="23">
        <f t="shared" si="0"/>
        <v>10000</v>
      </c>
      <c r="L12" s="23">
        <f t="shared" si="0"/>
        <v>10000</v>
      </c>
      <c r="M12" s="23">
        <f t="shared" si="0"/>
        <v>10000</v>
      </c>
      <c r="N12" s="23">
        <f t="shared" si="0"/>
        <v>10000</v>
      </c>
      <c r="O12" s="23">
        <f t="shared" si="0"/>
        <v>10000</v>
      </c>
      <c r="P12" s="23">
        <f t="shared" si="0"/>
        <v>10000</v>
      </c>
      <c r="Q12" s="23">
        <f t="shared" si="0"/>
        <v>10000</v>
      </c>
    </row>
    <row r="13" spans="1:18" x14ac:dyDescent="0.35">
      <c r="A13" s="22" t="s">
        <v>37</v>
      </c>
      <c r="B13" s="110">
        <f>B6</f>
        <v>9789.5982547883941</v>
      </c>
      <c r="C13" s="110">
        <f>C6</f>
        <v>9801.0361174523405</v>
      </c>
      <c r="D13" s="110">
        <f>D6</f>
        <v>9698.0350313784566</v>
      </c>
      <c r="E13" s="110">
        <f>E6</f>
        <v>9804.5714545700066</v>
      </c>
      <c r="F13" s="110">
        <f>F6</f>
        <v>10000</v>
      </c>
      <c r="G13" s="110">
        <f>F13*(1+$H6)</f>
        <v>10053.303242913109</v>
      </c>
      <c r="H13" s="110">
        <f>G13*(1+$H6)</f>
        <v>10106.890609396723</v>
      </c>
      <c r="I13" s="110">
        <f>H13*(1+$H6)</f>
        <v>10160.763613921614</v>
      </c>
      <c r="J13" s="110">
        <f>I13*(1+$H6)</f>
        <v>10214.923779031169</v>
      </c>
      <c r="K13" s="110">
        <f>J13*(1+$H6)</f>
        <v>10269.372635384429</v>
      </c>
      <c r="L13" s="110">
        <f>I6</f>
        <v>10324.111721799347</v>
      </c>
      <c r="M13" s="110">
        <f>L13*(1+$H6)</f>
        <v>10379.142585296262</v>
      </c>
      <c r="N13" s="110">
        <f>M13*(1+$H6)</f>
        <v>10434.466781141648</v>
      </c>
      <c r="O13" s="110">
        <f>N13*(1+$H6)</f>
        <v>10490.085872892045</v>
      </c>
      <c r="P13" s="110">
        <f>O13*(1+$H6)</f>
        <v>10546.001432438259</v>
      </c>
      <c r="Q13" s="110">
        <f>K6</f>
        <v>10602.215040049787</v>
      </c>
    </row>
    <row r="14" spans="1:18" x14ac:dyDescent="0.35">
      <c r="A14" s="22" t="s">
        <v>61</v>
      </c>
      <c r="B14" s="110">
        <f>B13</f>
        <v>9789.5982547883941</v>
      </c>
      <c r="C14" s="110">
        <f>C13</f>
        <v>9801.0361174523405</v>
      </c>
      <c r="D14" s="110">
        <f>D13</f>
        <v>9698.0350313784566</v>
      </c>
      <c r="E14" s="110">
        <f>E13</f>
        <v>9804.5714545700066</v>
      </c>
      <c r="F14" s="110">
        <f>F13</f>
        <v>10000</v>
      </c>
      <c r="G14" s="110">
        <f t="shared" ref="G14:P14" si="1">F14*(1+$R14)</f>
        <v>10305.303992062076</v>
      </c>
      <c r="H14" s="110">
        <f t="shared" si="1"/>
        <v>10619.929036881056</v>
      </c>
      <c r="I14" s="110">
        <f t="shared" si="1"/>
        <v>10944.159709918631</v>
      </c>
      <c r="J14" s="110">
        <f t="shared" si="1"/>
        <v>11278.28927483894</v>
      </c>
      <c r="K14" s="110">
        <f t="shared" si="1"/>
        <v>11622.619948762862</v>
      </c>
      <c r="L14" s="110">
        <f t="shared" si="1"/>
        <v>11977.463175620624</v>
      </c>
      <c r="M14" s="110">
        <f t="shared" si="1"/>
        <v>12343.139907849973</v>
      </c>
      <c r="N14" s="110">
        <f t="shared" si="1"/>
        <v>12719.980896694704</v>
      </c>
      <c r="O14" s="110">
        <f t="shared" si="1"/>
        <v>13108.326991366128</v>
      </c>
      <c r="P14" s="110">
        <f t="shared" si="1"/>
        <v>13508.529447338042</v>
      </c>
      <c r="Q14" s="110">
        <f>'Regional data (L)'!G28*Q13</f>
        <v>13920.950244054096</v>
      </c>
      <c r="R14">
        <f>(Q14/F14)^(1/11)-1</f>
        <v>3.0530399206207592E-2</v>
      </c>
    </row>
    <row r="15" spans="1:18" x14ac:dyDescent="0.35">
      <c r="A15" s="22" t="s">
        <v>62</v>
      </c>
      <c r="B15" s="110">
        <f>B13</f>
        <v>9789.5982547883941</v>
      </c>
      <c r="C15" s="110">
        <f>C13</f>
        <v>9801.0361174523405</v>
      </c>
      <c r="D15" s="110">
        <f>D13</f>
        <v>9698.0350313784566</v>
      </c>
      <c r="E15" s="110">
        <f>E13</f>
        <v>9804.5714545700066</v>
      </c>
      <c r="F15" s="110">
        <f>F13</f>
        <v>10000</v>
      </c>
      <c r="G15" s="110">
        <f t="shared" ref="G15:P15" si="2">F15*(1+$R15)</f>
        <v>10143.014991994272</v>
      </c>
      <c r="H15" s="110">
        <f t="shared" si="2"/>
        <v>10288.075312782057</v>
      </c>
      <c r="I15" s="110">
        <f t="shared" si="2"/>
        <v>10435.210213631457</v>
      </c>
      <c r="J15" s="110">
        <f t="shared" si="2"/>
        <v>10584.449364147562</v>
      </c>
      <c r="K15" s="110">
        <f t="shared" si="2"/>
        <v>10735.822858255297</v>
      </c>
      <c r="L15" s="110">
        <f t="shared" si="2"/>
        <v>10889.361220267827</v>
      </c>
      <c r="M15" s="110">
        <f t="shared" si="2"/>
        <v>11045.095411041761</v>
      </c>
      <c r="N15" s="110">
        <f t="shared" si="2"/>
        <v>11203.056834220371</v>
      </c>
      <c r="O15" s="110">
        <f t="shared" si="2"/>
        <v>11363.277342566113</v>
      </c>
      <c r="P15" s="110">
        <f t="shared" si="2"/>
        <v>11525.789244383692</v>
      </c>
      <c r="Q15" s="110">
        <f>'Live Output Fx'!H22*'Regional data (L)'!G29</f>
        <v>11690.625310035006</v>
      </c>
      <c r="R15">
        <f>(Q15/F15)^(1/11)-1</f>
        <v>1.4301499199427248E-2</v>
      </c>
    </row>
    <row r="16" spans="1:18" x14ac:dyDescent="0.35">
      <c r="A16" s="22" t="s">
        <v>35</v>
      </c>
      <c r="B16" s="23">
        <f>B6</f>
        <v>9789.5982547883941</v>
      </c>
      <c r="C16" s="23">
        <f>C6</f>
        <v>9801.0361174523405</v>
      </c>
      <c r="D16" s="23">
        <f>D6</f>
        <v>9698.0350313784566</v>
      </c>
      <c r="E16" s="23">
        <f>E6</f>
        <v>9804.5714545700066</v>
      </c>
      <c r="F16" s="23">
        <f>F6</f>
        <v>10000</v>
      </c>
      <c r="G16" s="110">
        <f t="shared" ref="G16:P16" si="3">F16*(1+$R16)</f>
        <v>9843.4416153410511</v>
      </c>
      <c r="H16" s="110">
        <f t="shared" si="3"/>
        <v>9689.3342834628038</v>
      </c>
      <c r="I16" s="110">
        <f t="shared" si="3"/>
        <v>9537.6396310788532</v>
      </c>
      <c r="J16" s="110">
        <f t="shared" si="3"/>
        <v>9388.319885668765</v>
      </c>
      <c r="K16" s="110">
        <f t="shared" si="3"/>
        <v>9241.3378660725866</v>
      </c>
      <c r="L16" s="110">
        <f t="shared" si="3"/>
        <v>9096.656973232597</v>
      </c>
      <c r="M16" s="110">
        <f t="shared" si="3"/>
        <v>8954.2411810800113</v>
      </c>
      <c r="N16" s="110">
        <f t="shared" si="3"/>
        <v>8814.0550275643582</v>
      </c>
      <c r="O16" s="110">
        <f t="shared" si="3"/>
        <v>8676.0636058233013</v>
      </c>
      <c r="P16" s="110">
        <f t="shared" si="3"/>
        <v>8540.232555490702</v>
      </c>
      <c r="Q16" s="110">
        <f>'Live Output Fx'!H22*'Regional data (L)'!G30</f>
        <v>8406.5280541407556</v>
      </c>
      <c r="R16">
        <f>(Q16/F16)^(1/11)-1</f>
        <v>-1.5655838465894911E-2</v>
      </c>
    </row>
    <row r="20" spans="1:1" x14ac:dyDescent="0.35">
      <c r="A20" s="95"/>
    </row>
    <row r="21" spans="1:1" x14ac:dyDescent="0.35">
      <c r="A21" s="3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94B5-6E62-412D-88DD-FF7FF80FB32F}">
  <sheetPr>
    <tabColor theme="4" tint="0.39997558519241921"/>
  </sheetPr>
  <dimension ref="A1:BF96"/>
  <sheetViews>
    <sheetView showGridLines="0" workbookViewId="0">
      <pane xSplit="1" ySplit="1" topLeftCell="B29" activePane="bottomRight" state="frozen"/>
      <selection activeCell="D18" sqref="D18:H18"/>
      <selection pane="topRight" activeCell="D18" sqref="D18:H18"/>
      <selection pane="bottomLeft" activeCell="D18" sqref="D18:H18"/>
      <selection pane="bottomRight" activeCell="AO30" sqref="AO30"/>
    </sheetView>
  </sheetViews>
  <sheetFormatPr defaultRowHeight="14.5" outlineLevelCol="1" x14ac:dyDescent="0.35"/>
  <cols>
    <col min="1" max="2" width="1.54296875" customWidth="1"/>
    <col min="3" max="3" width="34.453125" customWidth="1"/>
    <col min="4" max="7" width="12.36328125" customWidth="1"/>
    <col min="8" max="8" width="14.7265625" customWidth="1"/>
    <col min="9" max="13" width="12.36328125" customWidth="1"/>
    <col min="14" max="14" width="1.6328125" customWidth="1"/>
    <col min="15" max="40" width="1.6328125" hidden="1" customWidth="1" outlineLevel="1"/>
    <col min="41" max="41" width="24.54296875" bestFit="1" customWidth="1" collapsed="1"/>
    <col min="42" max="42" width="11.90625" bestFit="1" customWidth="1"/>
    <col min="43" max="51" width="10.08984375" bestFit="1" customWidth="1"/>
    <col min="52" max="52" width="11.90625" bestFit="1" customWidth="1"/>
    <col min="53" max="56" width="10.08984375" bestFit="1" customWidth="1"/>
    <col min="57" max="57" width="11.90625" bestFit="1" customWidth="1"/>
  </cols>
  <sheetData>
    <row r="1" spans="1:41" x14ac:dyDescent="0.3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</row>
    <row r="2" spans="1:41" x14ac:dyDescent="0.3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</row>
    <row r="3" spans="1:41" ht="15.5" x14ac:dyDescent="0.35">
      <c r="C3" s="173" t="s">
        <v>69</v>
      </c>
      <c r="D3" s="173"/>
      <c r="E3" s="173"/>
      <c r="F3" s="173"/>
      <c r="G3" s="173"/>
      <c r="H3" s="46">
        <f>Summary!D3</f>
        <v>10000</v>
      </c>
    </row>
    <row r="4" spans="1:41" x14ac:dyDescent="0.35">
      <c r="H4" s="71"/>
    </row>
    <row r="6" spans="1:41" ht="15.5" x14ac:dyDescent="0.35">
      <c r="C6" s="41"/>
    </row>
    <row r="7" spans="1:41" ht="23.5" x14ac:dyDescent="0.55000000000000004">
      <c r="C7" s="42" t="s">
        <v>34</v>
      </c>
      <c r="D7" s="34" t="str">
        <f>D8</f>
        <v>RVUs continue the trend from 2015 to 2019 [simple trend]</v>
      </c>
      <c r="E7" s="34" t="str">
        <f>D9</f>
        <v>Risk for exit by 2025 and by 2030 same as by 2020 (risk by years since anchor date, all in 5 year increments)</v>
      </c>
    </row>
    <row r="8" spans="1:41" ht="32.5" customHeight="1" x14ac:dyDescent="0.35">
      <c r="C8" s="52" t="s">
        <v>65</v>
      </c>
      <c r="D8" s="174" t="str">
        <f>Summary!D6</f>
        <v>RVUs continue the trend from 2015 to 2019 [simple trend]</v>
      </c>
      <c r="E8" s="175"/>
      <c r="F8" s="175"/>
      <c r="G8" s="175"/>
      <c r="H8" s="176"/>
    </row>
    <row r="9" spans="1:41" ht="27.5" customHeight="1" x14ac:dyDescent="0.35">
      <c r="C9" s="52" t="s">
        <v>109</v>
      </c>
      <c r="D9" s="174" t="str">
        <f>Summary!D7</f>
        <v>Risk for exit by 2025 and by 2030 same as by 2020 (risk by years since anchor date, all in 5 year increments)</v>
      </c>
      <c r="E9" s="175"/>
      <c r="F9" s="175"/>
      <c r="G9" s="175"/>
      <c r="H9" s="176"/>
    </row>
    <row r="10" spans="1:41" x14ac:dyDescent="0.35">
      <c r="D10" s="124" t="s">
        <v>71</v>
      </c>
    </row>
    <row r="11" spans="1:41" ht="23.5" x14ac:dyDescent="0.55000000000000004">
      <c r="C11" s="42" t="s">
        <v>66</v>
      </c>
      <c r="D11" s="34"/>
    </row>
    <row r="12" spans="1:41" ht="15.5" x14ac:dyDescent="0.35">
      <c r="C12" s="52" t="s">
        <v>244</v>
      </c>
      <c r="D12" s="174" t="str">
        <f>Summary!D10</f>
        <v>High</v>
      </c>
      <c r="E12" s="175"/>
      <c r="F12" s="175"/>
      <c r="G12" s="175"/>
      <c r="H12" s="176"/>
    </row>
    <row r="13" spans="1:41" ht="15.5" x14ac:dyDescent="0.35">
      <c r="C13" s="52" t="s">
        <v>112</v>
      </c>
      <c r="D13" s="174" t="str">
        <f>Summary!D11</f>
        <v>High</v>
      </c>
      <c r="E13" s="175"/>
      <c r="F13" s="175"/>
      <c r="G13" s="175"/>
      <c r="H13" s="176"/>
    </row>
    <row r="14" spans="1:41" ht="15.5" x14ac:dyDescent="0.35">
      <c r="C14" s="52" t="s">
        <v>113</v>
      </c>
      <c r="D14" s="174" t="str">
        <f>Summary!D12</f>
        <v>High</v>
      </c>
      <c r="E14" s="175"/>
      <c r="F14" s="175"/>
      <c r="G14" s="175"/>
      <c r="H14" s="176"/>
    </row>
    <row r="15" spans="1:41" ht="15.5" x14ac:dyDescent="0.35">
      <c r="C15" s="52" t="s">
        <v>117</v>
      </c>
      <c r="D15" s="174" t="str">
        <f>Summary!D13</f>
        <v>High</v>
      </c>
      <c r="E15" s="175"/>
      <c r="F15" s="175"/>
      <c r="G15" s="175"/>
      <c r="H15" s="176"/>
    </row>
    <row r="16" spans="1:41" ht="30" customHeight="1" x14ac:dyDescent="0.35">
      <c r="C16" s="52" t="s">
        <v>110</v>
      </c>
      <c r="D16" s="174" t="str">
        <f>Summary!D14</f>
        <v>High: early breast cancer down 25%, prostate down 15%, all others down 6%</v>
      </c>
      <c r="E16" s="175"/>
      <c r="F16" s="175"/>
      <c r="G16" s="175"/>
      <c r="H16" s="176"/>
    </row>
    <row r="17" spans="3:8" ht="15.5" customHeight="1" x14ac:dyDescent="0.35">
      <c r="C17" s="52" t="s">
        <v>266</v>
      </c>
      <c r="D17" s="174">
        <f>Summary!D15</f>
        <v>0</v>
      </c>
      <c r="E17" s="175"/>
      <c r="F17" s="175"/>
      <c r="G17" s="175"/>
      <c r="H17" s="176"/>
    </row>
    <row r="18" spans="3:8" ht="15.5" customHeight="1" x14ac:dyDescent="0.35">
      <c r="C18" s="52" t="s">
        <v>267</v>
      </c>
      <c r="D18" s="174">
        <f>Summary!D16</f>
        <v>0</v>
      </c>
      <c r="E18" s="175"/>
      <c r="F18" s="175"/>
      <c r="G18" s="175"/>
      <c r="H18" s="176"/>
    </row>
    <row r="19" spans="3:8" ht="25.5" customHeight="1" x14ac:dyDescent="0.35">
      <c r="C19" s="52" t="s">
        <v>111</v>
      </c>
      <c r="D19" s="174" t="str">
        <f>Summary!D17</f>
        <v xml:space="preserve">No movement of demand not otherwise modeled </v>
      </c>
      <c r="E19" s="175"/>
      <c r="F19" s="175"/>
      <c r="G19" s="175"/>
      <c r="H19" s="176"/>
    </row>
    <row r="47" spans="2:58" ht="8.5" customHeight="1" x14ac:dyDescent="0.35"/>
    <row r="48" spans="2:58" ht="10.5" customHeight="1" x14ac:dyDescent="0.3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2:58" ht="26" x14ac:dyDescent="0.35">
      <c r="B49" s="6"/>
      <c r="C49" s="167" t="s">
        <v>41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6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</row>
    <row r="50" spans="2:58" ht="16" customHeight="1" x14ac:dyDescent="0.6">
      <c r="B50" s="6"/>
      <c r="C50" s="5"/>
      <c r="D50" s="169" t="s">
        <v>9</v>
      </c>
      <c r="E50" s="170"/>
      <c r="F50" s="171"/>
      <c r="G50" s="171"/>
      <c r="H50" s="171"/>
      <c r="I50" s="171"/>
      <c r="J50" s="5"/>
      <c r="K50" s="169" t="s">
        <v>288</v>
      </c>
      <c r="L50" s="169"/>
      <c r="M50" s="170"/>
      <c r="N50" s="6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2:58" x14ac:dyDescent="0.35">
      <c r="B51" s="6"/>
      <c r="C51" s="2"/>
      <c r="D51" s="3">
        <v>2015</v>
      </c>
      <c r="E51" s="3">
        <v>2016</v>
      </c>
      <c r="F51" s="3">
        <v>2017</v>
      </c>
      <c r="G51" s="3">
        <v>2018</v>
      </c>
      <c r="H51" s="3">
        <v>2019</v>
      </c>
      <c r="I51" s="3">
        <v>2020</v>
      </c>
      <c r="J51" s="3"/>
      <c r="K51" s="3">
        <v>2025</v>
      </c>
      <c r="L51" s="3"/>
      <c r="M51" s="3">
        <v>2030</v>
      </c>
      <c r="N51" s="6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35"/>
      <c r="AP51" s="125">
        <v>2015</v>
      </c>
      <c r="AQ51" s="125">
        <v>2016</v>
      </c>
      <c r="AR51" s="125">
        <v>2017</v>
      </c>
      <c r="AS51" s="125">
        <v>2018</v>
      </c>
      <c r="AT51" s="125">
        <v>2019</v>
      </c>
      <c r="AU51" s="125">
        <v>2020</v>
      </c>
      <c r="AV51" s="125">
        <v>2021</v>
      </c>
      <c r="AW51" s="125">
        <v>2022</v>
      </c>
      <c r="AX51" s="125">
        <v>2023</v>
      </c>
      <c r="AY51" s="125">
        <v>2024</v>
      </c>
      <c r="AZ51" s="125">
        <v>2025</v>
      </c>
      <c r="BA51" s="125">
        <v>2026</v>
      </c>
      <c r="BB51" s="125">
        <v>2027</v>
      </c>
      <c r="BC51" s="125">
        <v>2028</v>
      </c>
      <c r="BD51" s="125">
        <v>2029</v>
      </c>
      <c r="BE51" s="125">
        <v>2030</v>
      </c>
      <c r="BF51" s="35"/>
    </row>
    <row r="52" spans="2:58" ht="18" customHeight="1" x14ac:dyDescent="0.35">
      <c r="B52" s="6"/>
      <c r="C52" s="7" t="s">
        <v>0</v>
      </c>
      <c r="D52" s="19">
        <f>'Live Output Fx'!D6</f>
        <v>4424</v>
      </c>
      <c r="E52" s="19">
        <f>'Live Output Fx'!E6</f>
        <v>4503</v>
      </c>
      <c r="F52" s="19">
        <f>'Live Output Fx'!F6</f>
        <v>4608</v>
      </c>
      <c r="G52" s="19">
        <f>'Live Output Fx'!G6</f>
        <v>4649</v>
      </c>
      <c r="H52" s="19">
        <f>'Live Output Fx'!H6</f>
        <v>4691</v>
      </c>
      <c r="I52" s="19">
        <f>'Live Output Fx'!I6</f>
        <v>4718</v>
      </c>
      <c r="J52" s="9"/>
      <c r="K52" s="19">
        <f>'Live Output Fx'!K6</f>
        <v>4909</v>
      </c>
      <c r="L52" s="9"/>
      <c r="M52" s="19">
        <f>'Live Output Fx'!M6</f>
        <v>5057</v>
      </c>
      <c r="N52" s="6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126" t="s">
        <v>67</v>
      </c>
      <c r="AP52" s="127">
        <f>'Live Output Fx'!Q6</f>
        <v>4330.9182679183859</v>
      </c>
      <c r="AQ52" s="127">
        <f>'Live Output Fx'!R6</f>
        <v>4413.406563688789</v>
      </c>
      <c r="AR52" s="127">
        <f>'Live Output Fx'!S6</f>
        <v>4468.854542459193</v>
      </c>
      <c r="AS52" s="127">
        <f>'Live Output Fx'!T6</f>
        <v>4558.1452692295961</v>
      </c>
      <c r="AT52" s="127">
        <f>'Live Output Fx'!U6</f>
        <v>4691</v>
      </c>
      <c r="AU52" s="127">
        <f>'Live Output Fx'!V6</f>
        <v>4743.1484700064048</v>
      </c>
      <c r="AV52" s="127">
        <f>'Live Output Fx'!W6</f>
        <v>4806.4288838799557</v>
      </c>
      <c r="AW52" s="127">
        <f>'Live Output Fx'!X6</f>
        <v>4870.5535493735706</v>
      </c>
      <c r="AX52" s="127">
        <f>'Live Output Fx'!Y6</f>
        <v>4935.5337300165857</v>
      </c>
      <c r="AY52" s="127">
        <f>'Live Output Fx'!Z6</f>
        <v>5001.3808396099939</v>
      </c>
      <c r="AZ52" s="127">
        <f>'Live Output Fx'!AA6</f>
        <v>5068.1064442313</v>
      </c>
      <c r="BA52" s="127">
        <f>'Live Output Fx'!AB6</f>
        <v>5125.4794262754976</v>
      </c>
      <c r="BB52" s="127">
        <f>'Live Output Fx'!AC6</f>
        <v>5183.5018933107613</v>
      </c>
      <c r="BC52" s="127">
        <f>'Live Output Fx'!AD6</f>
        <v>5242.1811977656816</v>
      </c>
      <c r="BD52" s="127">
        <f>'Live Output Fx'!AE6</f>
        <v>5301.5247753012682</v>
      </c>
      <c r="BE52" s="127">
        <f>'Live Output Fx'!AF6</f>
        <v>5361.5401457531771</v>
      </c>
      <c r="BF52" s="35"/>
    </row>
    <row r="53" spans="2:58" ht="18" customHeight="1" x14ac:dyDescent="0.35">
      <c r="B53" s="6"/>
      <c r="C53" s="7" t="s">
        <v>1</v>
      </c>
      <c r="D53" s="19">
        <f>'Live Output Fx'!D7</f>
        <v>251</v>
      </c>
      <c r="E53" s="19">
        <f>'Live Output Fx'!E7</f>
        <v>226</v>
      </c>
      <c r="F53" s="19">
        <f>'Live Output Fx'!F7</f>
        <v>214</v>
      </c>
      <c r="G53" s="19">
        <f>'Live Output Fx'!G7</f>
        <v>191</v>
      </c>
      <c r="H53" s="19">
        <f>'Live Output Fx'!H7</f>
        <v>196</v>
      </c>
      <c r="I53" s="19">
        <f>'Live Output Fx'!I7</f>
        <v>223</v>
      </c>
      <c r="J53" s="9" t="s">
        <v>38</v>
      </c>
      <c r="K53" s="19">
        <f>'Live Output Fx'!K7</f>
        <v>983</v>
      </c>
      <c r="L53" s="9" t="s">
        <v>39</v>
      </c>
      <c r="M53" s="19">
        <f>'Live Output Fx'!M7</f>
        <v>945</v>
      </c>
      <c r="N53" s="6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126" t="s">
        <v>40</v>
      </c>
      <c r="AP53" s="127">
        <f>'Live Output Fx'!Q7</f>
        <v>4330.9182679183859</v>
      </c>
      <c r="AQ53" s="127">
        <f>'Live Output Fx'!R7</f>
        <v>4413.406563688789</v>
      </c>
      <c r="AR53" s="127">
        <f>'Live Output Fx'!S7</f>
        <v>4468.854542459193</v>
      </c>
      <c r="AS53" s="127">
        <f>'Live Output Fx'!T7</f>
        <v>4558.1452692295961</v>
      </c>
      <c r="AT53" s="127">
        <f>'Live Output Fx'!U7</f>
        <v>4691</v>
      </c>
      <c r="AU53" s="127">
        <f>'Live Output Fx'!V7</f>
        <v>4771.2189283917332</v>
      </c>
      <c r="AV53" s="127">
        <f>'Live Output Fx'!W7</f>
        <v>4810.4364287269018</v>
      </c>
      <c r="AW53" s="127">
        <f>'Live Output Fx'!X7</f>
        <v>4856.666273790468</v>
      </c>
      <c r="AX53" s="127">
        <f>'Live Output Fx'!Y7</f>
        <v>4910.4196794854588</v>
      </c>
      <c r="AY53" s="127">
        <f>'Live Output Fx'!Z7</f>
        <v>4972.246488531352</v>
      </c>
      <c r="AZ53" s="127">
        <f>'Live Output Fx'!AA7</f>
        <v>5042.7380819935242</v>
      </c>
      <c r="BA53" s="127">
        <f>'Live Output Fx'!AB7</f>
        <v>5129.0475565302595</v>
      </c>
      <c r="BB53" s="127">
        <f>'Live Output Fx'!AC7</f>
        <v>5225.9798659076814</v>
      </c>
      <c r="BC53" s="127">
        <f>'Live Output Fx'!AD7</f>
        <v>5334.3353349273002</v>
      </c>
      <c r="BD53" s="127">
        <f>'Live Output Fx'!AE7</f>
        <v>5454.9763988854793</v>
      </c>
      <c r="BE53" s="127">
        <f>'Live Output Fx'!AF7</f>
        <v>5588.8324175487824</v>
      </c>
      <c r="BF53" s="35"/>
    </row>
    <row r="54" spans="2:58" ht="18" customHeight="1" x14ac:dyDescent="0.35">
      <c r="B54" s="6"/>
      <c r="C54" s="7" t="s">
        <v>2</v>
      </c>
      <c r="D54" s="19">
        <f>'Live Output Fx'!D8</f>
        <v>147</v>
      </c>
      <c r="E54" s="19">
        <f>'Live Output Fx'!E8</f>
        <v>109</v>
      </c>
      <c r="F54" s="19">
        <f>'Live Output Fx'!F8</f>
        <v>150</v>
      </c>
      <c r="G54" s="19">
        <f>'Live Output Fx'!G8</f>
        <v>154</v>
      </c>
      <c r="H54" s="19">
        <f>'Live Output Fx'!H8</f>
        <v>196</v>
      </c>
      <c r="I54" s="19" t="str">
        <f>'Live Output Fx'!I8</f>
        <v>(n/a, all)</v>
      </c>
      <c r="J54" s="9" t="s">
        <v>21</v>
      </c>
      <c r="K54" s="19">
        <f>'Live Output Fx'!K8</f>
        <v>792</v>
      </c>
      <c r="L54" s="9" t="s">
        <v>22</v>
      </c>
      <c r="M54" s="19">
        <f>'Live Output Fx'!M8</f>
        <v>797</v>
      </c>
      <c r="N54" s="6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126" t="s">
        <v>25</v>
      </c>
      <c r="AP54" s="127">
        <f>'Live Output Fx'!Q8</f>
        <v>1800.7966489999999</v>
      </c>
      <c r="AQ54" s="127">
        <f>'Live Output Fx'!R8</f>
        <v>1839.6475190000001</v>
      </c>
      <c r="AR54" s="127">
        <f>'Live Output Fx'!S8</f>
        <v>1834.4624719999999</v>
      </c>
      <c r="AS54" s="127">
        <f>'Live Output Fx'!T8</f>
        <v>1847.4061730000001</v>
      </c>
      <c r="AT54" s="127">
        <f>'Live Output Fx'!U8</f>
        <v>1883.2942780000001</v>
      </c>
      <c r="AU54" s="127">
        <f>'Live Output Fx'!V8</f>
        <v>1895.4513330900293</v>
      </c>
      <c r="AV54" s="127">
        <f>'Live Output Fx'!W8</f>
        <v>1889.0188950938389</v>
      </c>
      <c r="AW54" s="127">
        <f>'Live Output Fx'!X8</f>
        <v>1883.136001913279</v>
      </c>
      <c r="AX54" s="127">
        <f>'Live Output Fx'!Y8</f>
        <v>1877.8560068078648</v>
      </c>
      <c r="AY54" s="127">
        <f>'Live Output Fx'!Z8</f>
        <v>1873.2313072894019</v>
      </c>
      <c r="AZ54" s="127">
        <f>'Live Output Fx'!AA8</f>
        <v>1869.3127923078275</v>
      </c>
      <c r="BA54" s="127">
        <f>'Live Output Fx'!AB8</f>
        <v>1869.9721538732144</v>
      </c>
      <c r="BB54" s="127">
        <f>'Live Output Fx'!AC8</f>
        <v>1871.47381030356</v>
      </c>
      <c r="BC54" s="127">
        <f>'Live Output Fx'!AD8</f>
        <v>1873.8654468052346</v>
      </c>
      <c r="BD54" s="127">
        <f>'Live Output Fx'!AE8</f>
        <v>1877.1908408264351</v>
      </c>
      <c r="BE54" s="127">
        <f>'Live Output Fx'!AF8</f>
        <v>1881.4893037770814</v>
      </c>
      <c r="BF54" s="35"/>
    </row>
    <row r="55" spans="2:58" x14ac:dyDescent="0.35">
      <c r="B55" s="6"/>
      <c r="C55" s="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6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126" t="s">
        <v>26</v>
      </c>
      <c r="AP55" s="127">
        <f>'Live Output Fx'!Q9</f>
        <v>814.49919999999997</v>
      </c>
      <c r="AQ55" s="127">
        <f>'Live Output Fx'!R9</f>
        <v>862.70349999999996</v>
      </c>
      <c r="AR55" s="127">
        <f>'Live Output Fx'!S9</f>
        <v>927.90340000000003</v>
      </c>
      <c r="AS55" s="127">
        <f>'Live Output Fx'!T9</f>
        <v>1008.8173</v>
      </c>
      <c r="AT55" s="127">
        <f>'Live Output Fx'!U9</f>
        <v>1110.3507999999999</v>
      </c>
      <c r="AU55" s="127">
        <f>'Live Output Fx'!V9</f>
        <v>1194.0806748045029</v>
      </c>
      <c r="AV55" s="127">
        <f>'Live Output Fx'!W9</f>
        <v>1271.5584909702156</v>
      </c>
      <c r="AW55" s="127">
        <f>'Live Output Fx'!X9</f>
        <v>1354.4430069140942</v>
      </c>
      <c r="AX55" s="127">
        <f>'Live Output Fx'!Y9</f>
        <v>1443.1794803514595</v>
      </c>
      <c r="AY55" s="127">
        <f>'Live Output Fx'!Z9</f>
        <v>1538.2554901422905</v>
      </c>
      <c r="AZ55" s="127">
        <f>'Live Output Fx'!AA9</f>
        <v>1640.2047034027753</v>
      </c>
      <c r="BA55" s="127">
        <f>'Live Output Fx'!AB9</f>
        <v>1753.1949984474636</v>
      </c>
      <c r="BB55" s="127">
        <f>'Live Output Fx'!AC9</f>
        <v>1874.8125247487083</v>
      </c>
      <c r="BC55" s="127">
        <f>'Live Output Fx'!AD9</f>
        <v>2005.8179063376106</v>
      </c>
      <c r="BD55" s="127">
        <f>'Live Output Fx'!AE9</f>
        <v>2147.0419804535936</v>
      </c>
      <c r="BE55" s="127">
        <f>'Live Output Fx'!AF9</f>
        <v>2299.3912372978107</v>
      </c>
      <c r="BF55" s="35"/>
    </row>
    <row r="56" spans="2:58" x14ac:dyDescent="0.35"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126" t="s">
        <v>24</v>
      </c>
      <c r="AP56" s="127">
        <f>'Live Output Fx'!Q10</f>
        <v>0</v>
      </c>
      <c r="AQ56" s="127">
        <f>'Live Output Fx'!R10</f>
        <v>0</v>
      </c>
      <c r="AR56" s="127">
        <f>'Live Output Fx'!S10</f>
        <v>0</v>
      </c>
      <c r="AS56" s="127">
        <f>'Live Output Fx'!T10</f>
        <v>0</v>
      </c>
      <c r="AT56" s="127">
        <f>'Live Output Fx'!U10</f>
        <v>0</v>
      </c>
      <c r="AU56" s="127">
        <f>'Live Output Fx'!V10</f>
        <v>0</v>
      </c>
      <c r="AV56" s="127">
        <f>'Live Output Fx'!W10</f>
        <v>0</v>
      </c>
      <c r="AW56" s="127">
        <f>'Live Output Fx'!X10</f>
        <v>0</v>
      </c>
      <c r="AX56" s="127">
        <f>'Live Output Fx'!Y10</f>
        <v>0</v>
      </c>
      <c r="AY56" s="127">
        <f>'Live Output Fx'!Z10</f>
        <v>0</v>
      </c>
      <c r="AZ56" s="127">
        <f>'Live Output Fx'!AA10</f>
        <v>0</v>
      </c>
      <c r="BA56" s="127">
        <f>'Live Output Fx'!AB10</f>
        <v>0</v>
      </c>
      <c r="BB56" s="127">
        <f>'Live Output Fx'!AC10</f>
        <v>0</v>
      </c>
      <c r="BC56" s="127">
        <f>'Live Output Fx'!AD10</f>
        <v>0</v>
      </c>
      <c r="BD56" s="127">
        <f>'Live Output Fx'!AE10</f>
        <v>0</v>
      </c>
      <c r="BE56" s="127">
        <f>'Live Output Fx'!AF10</f>
        <v>0</v>
      </c>
      <c r="BF56" s="35"/>
    </row>
    <row r="57" spans="2:58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126" t="s">
        <v>23</v>
      </c>
      <c r="AP57" s="127">
        <f>'Live Output Fx'!Q11</f>
        <v>1715.6224189183854</v>
      </c>
      <c r="AQ57" s="127">
        <f>'Live Output Fx'!R11</f>
        <v>1711.0555446887893</v>
      </c>
      <c r="AR57" s="127">
        <f>'Live Output Fx'!S11</f>
        <v>1706.4886704591927</v>
      </c>
      <c r="AS57" s="127">
        <f>'Live Output Fx'!T11</f>
        <v>1701.9217962295961</v>
      </c>
      <c r="AT57" s="127">
        <f>'Live Output Fx'!U11</f>
        <v>1697.354922</v>
      </c>
      <c r="AU57" s="127">
        <f>'Live Output Fx'!V11</f>
        <v>1681.6869204972011</v>
      </c>
      <c r="AV57" s="127">
        <f>'Live Output Fx'!W11</f>
        <v>1649.8590426628466</v>
      </c>
      <c r="AW57" s="127">
        <f>'Live Output Fx'!X11</f>
        <v>1619.0872649630944</v>
      </c>
      <c r="AX57" s="127">
        <f>'Live Output Fx'!Y11</f>
        <v>1589.3841923261346</v>
      </c>
      <c r="AY57" s="127">
        <f>'Live Output Fx'!Z11</f>
        <v>1560.7596910996599</v>
      </c>
      <c r="AZ57" s="127">
        <f>'Live Output Fx'!AA11</f>
        <v>1533.2205862829214</v>
      </c>
      <c r="BA57" s="127">
        <f>'Live Output Fx'!AB11</f>
        <v>1505.8804042095815</v>
      </c>
      <c r="BB57" s="127">
        <f>'Live Output Fx'!AC11</f>
        <v>1479.693530855413</v>
      </c>
      <c r="BC57" s="127">
        <f>'Live Output Fx'!AD11</f>
        <v>1454.6519817844555</v>
      </c>
      <c r="BD57" s="127">
        <f>'Live Output Fx'!AE11</f>
        <v>1430.7435776054504</v>
      </c>
      <c r="BE57" s="127">
        <f>'Live Output Fx'!AF11</f>
        <v>1407.9518764738903</v>
      </c>
      <c r="BF57" s="35"/>
    </row>
    <row r="58" spans="2:58" ht="26" customHeight="1" x14ac:dyDescent="0.35">
      <c r="B58" s="1"/>
      <c r="C58" s="172" t="s">
        <v>8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126" t="s">
        <v>63</v>
      </c>
      <c r="AP58" s="127">
        <f>'Live Output Fx'!Q12</f>
        <v>4424</v>
      </c>
      <c r="AQ58" s="127">
        <f>'Live Output Fx'!R12</f>
        <v>4503</v>
      </c>
      <c r="AR58" s="127">
        <f>'Live Output Fx'!S12</f>
        <v>4608</v>
      </c>
      <c r="AS58" s="127">
        <f>'Live Output Fx'!T12</f>
        <v>4649</v>
      </c>
      <c r="AT58" s="127">
        <f>'Live Output Fx'!U12</f>
        <v>4691</v>
      </c>
      <c r="AU58" s="127">
        <f>'Live Output Fx'!V12</f>
        <v>4718</v>
      </c>
      <c r="AV58" s="127">
        <f>'Live Output Fx'!W12</f>
        <v>4755.5960281308016</v>
      </c>
      <c r="AW58" s="127">
        <f>'Live Output Fx'!X12</f>
        <v>4793.4916453525766</v>
      </c>
      <c r="AX58" s="127">
        <f>'Live Output Fx'!Y12</f>
        <v>4831.6892389819623</v>
      </c>
      <c r="AY58" s="127">
        <f>'Live Output Fx'!Z12</f>
        <v>4870.191215359253</v>
      </c>
      <c r="AZ58" s="127">
        <f>'Live Output Fx'!AA12</f>
        <v>4909</v>
      </c>
      <c r="BA58" s="127">
        <f>'Live Output Fx'!AB12</f>
        <v>4938.2493632340793</v>
      </c>
      <c r="BB58" s="127">
        <f>'Live Output Fx'!AC12</f>
        <v>4967.673003357464</v>
      </c>
      <c r="BC58" s="127">
        <f>'Live Output Fx'!AD12</f>
        <v>4997.2719587665761</v>
      </c>
      <c r="BD58" s="127">
        <f>'Live Output Fx'!AE12</f>
        <v>5027.0472740449304</v>
      </c>
      <c r="BE58" s="127">
        <f>'Live Output Fx'!AF12</f>
        <v>5057</v>
      </c>
      <c r="BF58" s="35"/>
    </row>
    <row r="59" spans="2:58" x14ac:dyDescent="0.35">
      <c r="B59" s="1"/>
      <c r="C59" s="4"/>
      <c r="D59" s="179" t="s">
        <v>9</v>
      </c>
      <c r="E59" s="180"/>
      <c r="F59" s="180"/>
      <c r="G59" s="180"/>
      <c r="H59" s="180"/>
      <c r="I59" s="4"/>
      <c r="J59" s="4"/>
      <c r="K59" s="181" t="s">
        <v>288</v>
      </c>
      <c r="L59" s="182"/>
      <c r="M59" s="182"/>
      <c r="N59" s="1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126" t="s">
        <v>64</v>
      </c>
      <c r="AP59" s="127">
        <f>'Live Output Fx'!Q13</f>
        <v>9789.5982547883941</v>
      </c>
      <c r="AQ59" s="127">
        <f>'Live Output Fx'!R13</f>
        <v>9801.0361174523405</v>
      </c>
      <c r="AR59" s="127">
        <f>'Live Output Fx'!S13</f>
        <v>9698.0350313784566</v>
      </c>
      <c r="AS59" s="127">
        <f>'Live Output Fx'!T13</f>
        <v>9804.5714545700066</v>
      </c>
      <c r="AT59" s="127">
        <f>'Live Output Fx'!U13</f>
        <v>10000</v>
      </c>
      <c r="AU59" s="127">
        <f>'Live Output Fx'!V13</f>
        <v>10053.303242913109</v>
      </c>
      <c r="AV59" s="127">
        <f>'Live Output Fx'!W13</f>
        <v>10106.890609396723</v>
      </c>
      <c r="AW59" s="127">
        <f>'Live Output Fx'!X13</f>
        <v>10160.763613921614</v>
      </c>
      <c r="AX59" s="127">
        <f>'Live Output Fx'!Y13</f>
        <v>10214.923779031169</v>
      </c>
      <c r="AY59" s="127">
        <f>'Live Output Fx'!Z13</f>
        <v>10269.372635384429</v>
      </c>
      <c r="AZ59" s="127">
        <f>'Live Output Fx'!AA13</f>
        <v>10324.111721799347</v>
      </c>
      <c r="BA59" s="127">
        <f>'Live Output Fx'!AB13</f>
        <v>10379.142585296262</v>
      </c>
      <c r="BB59" s="127">
        <f>'Live Output Fx'!AC13</f>
        <v>10434.466781141648</v>
      </c>
      <c r="BC59" s="127">
        <f>'Live Output Fx'!AD13</f>
        <v>10490.085872892045</v>
      </c>
      <c r="BD59" s="127">
        <f>'Live Output Fx'!AE13</f>
        <v>10546.001432438259</v>
      </c>
      <c r="BE59" s="127">
        <f>'Live Output Fx'!AF13</f>
        <v>10602.215040049787</v>
      </c>
      <c r="BF59" s="35"/>
    </row>
    <row r="60" spans="2:58" x14ac:dyDescent="0.35">
      <c r="B60" s="1"/>
      <c r="C60" s="14"/>
      <c r="D60" s="15">
        <v>2015</v>
      </c>
      <c r="E60" s="15">
        <v>2016</v>
      </c>
      <c r="F60" s="15">
        <v>2017</v>
      </c>
      <c r="G60" s="15">
        <v>2018</v>
      </c>
      <c r="H60" s="15">
        <v>2019</v>
      </c>
      <c r="I60" s="16"/>
      <c r="J60" s="16"/>
      <c r="K60" s="17">
        <v>2025</v>
      </c>
      <c r="L60" s="16"/>
      <c r="M60" s="17">
        <v>2030</v>
      </c>
      <c r="N60" s="1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>
        <f>(AZ53/AT53)^(1/6)-1</f>
        <v>1.2123471576189981E-2</v>
      </c>
      <c r="BA60" s="35"/>
      <c r="BB60" s="35"/>
      <c r="BC60" s="35"/>
      <c r="BD60" s="35"/>
      <c r="BE60" s="35">
        <f>(BE53/AZ53)^(1/5)-1</f>
        <v>2.077713896191602E-2</v>
      </c>
      <c r="BF60" s="35"/>
    </row>
    <row r="61" spans="2:58" ht="18" customHeight="1" x14ac:dyDescent="0.35">
      <c r="B61" s="1"/>
      <c r="C61" s="10" t="s">
        <v>4</v>
      </c>
      <c r="D61" s="20">
        <f>'Live Output Fx'!D15</f>
        <v>18007966.489999998</v>
      </c>
      <c r="E61" s="20">
        <f>'Live Output Fx'!E15</f>
        <v>18396475.190000001</v>
      </c>
      <c r="F61" s="20">
        <f>'Live Output Fx'!F15</f>
        <v>18344624.719999999</v>
      </c>
      <c r="G61" s="20">
        <f>'Live Output Fx'!G15</f>
        <v>18474061.73</v>
      </c>
      <c r="H61" s="20">
        <f>'Live Output Fx'!H15</f>
        <v>18832942.780000001</v>
      </c>
      <c r="I61" s="11"/>
      <c r="J61" s="31">
        <f>(H61/D61)^(1/4)-1</f>
        <v>1.1261278432715294E-2</v>
      </c>
      <c r="K61" s="29">
        <f>'Live Output Fx'!K15</f>
        <v>18693127.923078276</v>
      </c>
      <c r="L61" s="13"/>
      <c r="M61" s="29">
        <f>'Live Output Fx'!M15</f>
        <v>18814893.037770815</v>
      </c>
      <c r="N61" s="1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2:58" ht="18" customHeight="1" x14ac:dyDescent="0.35">
      <c r="B62" s="1"/>
      <c r="C62" s="10" t="s">
        <v>5</v>
      </c>
      <c r="D62" s="20">
        <f>'Live Output Fx'!D16</f>
        <v>8144992</v>
      </c>
      <c r="E62" s="20">
        <f>'Live Output Fx'!E16</f>
        <v>8627035</v>
      </c>
      <c r="F62" s="20">
        <f>'Live Output Fx'!F16</f>
        <v>9279034</v>
      </c>
      <c r="G62" s="20">
        <f>'Live Output Fx'!G16</f>
        <v>10088173</v>
      </c>
      <c r="H62" s="20">
        <f>'Live Output Fx'!H16</f>
        <v>11103508</v>
      </c>
      <c r="I62" s="11"/>
      <c r="J62" s="31">
        <f>(H62/D62)^(1/4)-1</f>
        <v>8.0543827781500266E-2</v>
      </c>
      <c r="K62" s="29">
        <f>'Live Output Fx'!K16</f>
        <v>16402047.034027753</v>
      </c>
      <c r="L62" s="13"/>
      <c r="M62" s="29">
        <f>'Live Output Fx'!M16</f>
        <v>22993912.372978106</v>
      </c>
      <c r="N62" s="1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2:58" ht="18" customHeight="1" x14ac:dyDescent="0.35">
      <c r="B63" s="1"/>
      <c r="C63" s="10" t="s">
        <v>6</v>
      </c>
      <c r="D63" s="20">
        <f>'Live Output Fx'!D17</f>
        <v>17156224.189183854</v>
      </c>
      <c r="E63" s="20">
        <f>'Live Output Fx'!E17</f>
        <v>17110555.446887892</v>
      </c>
      <c r="F63" s="20">
        <f>'Live Output Fx'!F17</f>
        <v>17064886.704591926</v>
      </c>
      <c r="G63" s="20">
        <f>'Live Output Fx'!G17</f>
        <v>17019217.962295961</v>
      </c>
      <c r="H63" s="20">
        <f>'Live Output Fx'!H17</f>
        <v>16973549.219999999</v>
      </c>
      <c r="I63" s="11"/>
      <c r="J63" s="28"/>
      <c r="K63" s="29">
        <f>'Live Output Fx'!K17</f>
        <v>15332205.862829214</v>
      </c>
      <c r="L63" s="13"/>
      <c r="M63" s="29">
        <f>'Live Output Fx'!M17</f>
        <v>14079518.764738902</v>
      </c>
      <c r="N63" s="1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2:58" ht="18" customHeight="1" x14ac:dyDescent="0.35">
      <c r="B64" s="1"/>
      <c r="C64" s="18" t="s">
        <v>11</v>
      </c>
      <c r="D64" s="20">
        <f>'Live Output Fx'!D18</f>
        <v>43309182.679183856</v>
      </c>
      <c r="E64" s="20">
        <f>'Live Output Fx'!E18</f>
        <v>44134065.636887893</v>
      </c>
      <c r="F64" s="20">
        <f>'Live Output Fx'!F18</f>
        <v>44688545.424591929</v>
      </c>
      <c r="G64" s="20">
        <f>'Live Output Fx'!G18</f>
        <v>45581452.692295961</v>
      </c>
      <c r="H64" s="20">
        <f>'Live Output Fx'!H18</f>
        <v>46910000</v>
      </c>
      <c r="I64" s="11"/>
      <c r="J64" s="28"/>
      <c r="K64" s="29">
        <f>'Live Output Fx'!K18</f>
        <v>50427380.819935247</v>
      </c>
      <c r="L64" s="13"/>
      <c r="M64" s="29">
        <f>'Live Output Fx'!M18</f>
        <v>55888324.175487824</v>
      </c>
      <c r="N64" s="1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2:58" ht="18" customHeight="1" x14ac:dyDescent="0.35">
      <c r="B65" s="1"/>
      <c r="C65" s="18" t="s">
        <v>241</v>
      </c>
      <c r="D65" s="20">
        <f>'Live Output Fx'!D19</f>
        <v>9789.5982547883941</v>
      </c>
      <c r="E65" s="20">
        <f>'Live Output Fx'!E19</f>
        <v>9801.0361174523405</v>
      </c>
      <c r="F65" s="20">
        <f>'Live Output Fx'!F19</f>
        <v>9698.0350313784566</v>
      </c>
      <c r="G65" s="20">
        <f>'Live Output Fx'!G19</f>
        <v>9804.5714545700066</v>
      </c>
      <c r="H65" s="20">
        <f>'Live Output Fx'!H19</f>
        <v>10000</v>
      </c>
      <c r="I65" s="11"/>
      <c r="J65" s="11"/>
      <c r="K65" s="29">
        <f>'Live Output Fx'!K19</f>
        <v>10272.434471365908</v>
      </c>
      <c r="L65" s="13"/>
      <c r="M65" s="29">
        <f>'Live Output Fx'!M19</f>
        <v>11051.675731755551</v>
      </c>
      <c r="N65" s="1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2:58" ht="9.5" customHeight="1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2:58" ht="18" customHeight="1" x14ac:dyDescent="0.35"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2:58" x14ac:dyDescent="0.35">
      <c r="F68" s="47" t="str">
        <f>J69</f>
        <v>Medicare FFS</v>
      </c>
      <c r="G68" s="48">
        <f>L69/SUM(L$69:L$71)</f>
        <v>0.40146968194414839</v>
      </c>
      <c r="J68" s="189" t="s">
        <v>70</v>
      </c>
      <c r="K68" s="189"/>
      <c r="L68" s="189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2:58" x14ac:dyDescent="0.35">
      <c r="F69" t="str">
        <f>J70</f>
        <v>Managed Medicare</v>
      </c>
      <c r="G69" s="48">
        <f>L70/SUM(L$69:L$71)</f>
        <v>0.23669810274994671</v>
      </c>
      <c r="J69" s="183" t="s">
        <v>4</v>
      </c>
      <c r="K69" s="183"/>
      <c r="L69" s="36">
        <f>'Live Output Fx'!L23</f>
        <v>18832942.780000001</v>
      </c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2:58" x14ac:dyDescent="0.35">
      <c r="F70" s="47" t="str">
        <f>J71</f>
        <v>All other</v>
      </c>
      <c r="G70" s="48">
        <f>L71/SUM(L$69:L$71)</f>
        <v>0.36183221530590493</v>
      </c>
      <c r="J70" s="184" t="s">
        <v>27</v>
      </c>
      <c r="K70" s="184"/>
      <c r="L70" s="37">
        <f>'Live Output Fx'!L24</f>
        <v>11103508</v>
      </c>
    </row>
    <row r="71" spans="2:58" x14ac:dyDescent="0.35">
      <c r="J71" s="185" t="s">
        <v>6</v>
      </c>
      <c r="K71" s="185"/>
      <c r="L71" s="38">
        <f>'Live Output Fx'!L25</f>
        <v>16973549.219999999</v>
      </c>
    </row>
    <row r="72" spans="2:58" ht="27.5" customHeight="1" x14ac:dyDescent="0.45">
      <c r="AQ72" s="43"/>
      <c r="AR72" s="44"/>
      <c r="AS72" s="44"/>
      <c r="AT72" s="45"/>
      <c r="AU72" s="55">
        <v>2015</v>
      </c>
      <c r="AV72" s="55">
        <v>2020</v>
      </c>
      <c r="AW72" s="55">
        <v>2025</v>
      </c>
      <c r="AX72" s="55">
        <v>2030</v>
      </c>
    </row>
    <row r="73" spans="2:58" ht="31" customHeight="1" x14ac:dyDescent="0.45">
      <c r="AP73" s="186" t="s">
        <v>68</v>
      </c>
      <c r="AQ73" s="187"/>
      <c r="AR73" s="187"/>
      <c r="AS73" s="187"/>
      <c r="AT73" s="188"/>
      <c r="AU73" s="53">
        <f>((AP52/AP53)-1)*D52</f>
        <v>0</v>
      </c>
      <c r="AV73" s="53">
        <f>((AU52/AU53)-1)*I52</f>
        <v>-27.757356065533106</v>
      </c>
      <c r="AW73" s="53">
        <f>((AZ52/AZ53)-1)*K52</f>
        <v>24.695569787754653</v>
      </c>
      <c r="AX73" s="54">
        <f>((BE52/BE53)-1)*M52</f>
        <v>-205.66317480932847</v>
      </c>
    </row>
    <row r="74" spans="2:58" ht="29" customHeight="1" x14ac:dyDescent="0.35">
      <c r="I74" t="s">
        <v>12</v>
      </c>
      <c r="AU74" s="177" t="s">
        <v>160</v>
      </c>
      <c r="AV74" s="178"/>
      <c r="AW74" s="178"/>
      <c r="AX74" s="178"/>
    </row>
    <row r="76" spans="2:58" ht="27.5" customHeight="1" x14ac:dyDescent="0.35">
      <c r="AP76" s="40"/>
      <c r="AQ76" s="25"/>
      <c r="AR76" s="25"/>
      <c r="AS76" s="25"/>
      <c r="AT76" s="25"/>
      <c r="AU76" s="25">
        <v>0</v>
      </c>
      <c r="AV76" s="25"/>
      <c r="AW76" s="25"/>
      <c r="AX76" s="25"/>
    </row>
    <row r="77" spans="2:58" ht="30.5" customHeight="1" x14ac:dyDescent="0.35"/>
    <row r="78" spans="2:58" ht="30.5" customHeight="1" x14ac:dyDescent="0.35"/>
    <row r="79" spans="2:58" ht="30.5" customHeight="1" x14ac:dyDescent="0.35"/>
    <row r="80" spans="2:58" ht="30.5" customHeight="1" x14ac:dyDescent="0.35"/>
    <row r="81" spans="3:4" ht="30.5" customHeight="1" x14ac:dyDescent="0.35"/>
    <row r="82" spans="3:4" ht="32" customHeight="1" x14ac:dyDescent="0.35"/>
    <row r="83" spans="3:4" ht="32" customHeight="1" x14ac:dyDescent="0.35"/>
    <row r="85" spans="3:4" ht="15.5" x14ac:dyDescent="0.35">
      <c r="C85" s="41"/>
    </row>
    <row r="94" spans="3:4" x14ac:dyDescent="0.35">
      <c r="D94" s="84" t="str">
        <f>D16</f>
        <v>High: early breast cancer down 25%, prostate down 15%, all others down 6%</v>
      </c>
    </row>
    <row r="95" spans="3:4" x14ac:dyDescent="0.35">
      <c r="D95" s="84" t="str">
        <f>D19</f>
        <v xml:space="preserve">No movement of demand not otherwise modeled </v>
      </c>
    </row>
    <row r="96" spans="3:4" x14ac:dyDescent="0.35">
      <c r="D96" s="84">
        <f>D17</f>
        <v>0</v>
      </c>
    </row>
  </sheetData>
  <sheetProtection algorithmName="SHA-512" hashValue="ovQYPhq/eTjKfLZ9qmA6SIrJTlmY0JLxQn1t/V0e1A96ODJp2146qkSmfpvF4/lspsa6u7Ny1BB+URzYxE5cHw==" saltValue="TYkGoeesSvInokFmProuEw==" spinCount="100000" sheet="1" objects="1" scenarios="1"/>
  <mergeCells count="23">
    <mergeCell ref="AU74:AX74"/>
    <mergeCell ref="D59:H59"/>
    <mergeCell ref="K59:M59"/>
    <mergeCell ref="J69:K69"/>
    <mergeCell ref="J70:K70"/>
    <mergeCell ref="J71:K71"/>
    <mergeCell ref="AP73:AT73"/>
    <mergeCell ref="J68:L68"/>
    <mergeCell ref="C49:M49"/>
    <mergeCell ref="D50:I50"/>
    <mergeCell ref="K50:M50"/>
    <mergeCell ref="C58:M58"/>
    <mergeCell ref="C3:G3"/>
    <mergeCell ref="D12:H12"/>
    <mergeCell ref="D13:H13"/>
    <mergeCell ref="D14:H14"/>
    <mergeCell ref="D15:H15"/>
    <mergeCell ref="D16:H16"/>
    <mergeCell ref="D17:H17"/>
    <mergeCell ref="D18:H18"/>
    <mergeCell ref="D19:H19"/>
    <mergeCell ref="D8:H8"/>
    <mergeCell ref="D9:H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DA56DA-C9A4-424A-A6D3-CC963D2F7C9B}">
          <x14:formula1>
            <xm:f>'Demand Scenarios (L)'!$A$35:$A$37</xm:f>
          </x14:formula1>
          <xm:sqref>D12:D19</xm:sqref>
        </x14:dataValidation>
        <x14:dataValidation type="list" allowBlank="1" showInputMessage="1" showErrorMessage="1" xr:uid="{820B303B-5338-41B0-9F52-247ABC9B98CB}">
          <x14:formula1>
            <xm:f>'RVU scenarios (L)'!$A$12:$A$16</xm:f>
          </x14:formula1>
          <xm:sqref>D8:D9</xm:sqref>
        </x14:dataValidation>
        <x14:dataValidation type="list" showInputMessage="1" showErrorMessage="1" xr:uid="{4FA62D5F-9A3D-4C76-A259-1191EAE5535F}">
          <x14:formula1>
            <xm:f>'Dropdowns (L)'!$A$4:$A$9</xm:f>
          </x14:formula1>
          <xm:sqref>H3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D5CF-14C0-4066-A4C1-C82384B0C1B9}">
  <sheetPr>
    <tabColor theme="9" tint="0.79998168889431442"/>
  </sheetPr>
  <dimension ref="A3:A9"/>
  <sheetViews>
    <sheetView workbookViewId="0">
      <selection sqref="A1:XFD1048576"/>
    </sheetView>
  </sheetViews>
  <sheetFormatPr defaultRowHeight="14.5" x14ac:dyDescent="0.35"/>
  <sheetData>
    <row r="3" spans="1:1" x14ac:dyDescent="0.35">
      <c r="A3" t="s">
        <v>10</v>
      </c>
    </row>
    <row r="4" spans="1:1" x14ac:dyDescent="0.35">
      <c r="A4">
        <v>8500</v>
      </c>
    </row>
    <row r="5" spans="1:1" x14ac:dyDescent="0.35">
      <c r="A5">
        <v>9000</v>
      </c>
    </row>
    <row r="6" spans="1:1" x14ac:dyDescent="0.35">
      <c r="A6">
        <v>9500</v>
      </c>
    </row>
    <row r="7" spans="1:1" x14ac:dyDescent="0.35">
      <c r="A7">
        <v>10000</v>
      </c>
    </row>
    <row r="8" spans="1:1" x14ac:dyDescent="0.35">
      <c r="A8">
        <v>11000</v>
      </c>
    </row>
    <row r="9" spans="1:1" x14ac:dyDescent="0.35">
      <c r="A9">
        <v>12000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330F-7166-4DC8-AABE-B6551DDE0940}">
  <sheetPr>
    <tabColor theme="9" tint="0.79998168889431442"/>
  </sheetPr>
  <dimension ref="A1:O54"/>
  <sheetViews>
    <sheetView topLeftCell="A37" workbookViewId="0">
      <selection sqref="A1:XFD1048576"/>
    </sheetView>
  </sheetViews>
  <sheetFormatPr defaultRowHeight="14.5" x14ac:dyDescent="0.35"/>
  <cols>
    <col min="2" max="2" width="18" customWidth="1"/>
    <col min="3" max="3" width="9.7265625" bestFit="1" customWidth="1"/>
    <col min="4" max="4" width="11.453125" customWidth="1"/>
    <col min="7" max="7" width="9.08984375" bestFit="1" customWidth="1"/>
  </cols>
  <sheetData>
    <row r="1" spans="1:15" x14ac:dyDescent="0.35">
      <c r="A1" t="s">
        <v>57</v>
      </c>
    </row>
    <row r="2" spans="1:15" x14ac:dyDescent="0.35">
      <c r="C2">
        <v>2015</v>
      </c>
      <c r="D2">
        <v>2016</v>
      </c>
      <c r="E2">
        <v>2017</v>
      </c>
      <c r="F2">
        <v>2018</v>
      </c>
      <c r="G2">
        <v>2019</v>
      </c>
      <c r="H2" t="s">
        <v>42</v>
      </c>
      <c r="I2">
        <v>2015</v>
      </c>
      <c r="J2">
        <v>2016</v>
      </c>
      <c r="K2">
        <v>2017</v>
      </c>
      <c r="L2">
        <v>2018</v>
      </c>
      <c r="M2">
        <v>2019</v>
      </c>
    </row>
    <row r="3" spans="1:15" x14ac:dyDescent="0.35">
      <c r="A3" t="s">
        <v>43</v>
      </c>
      <c r="B3" t="s">
        <v>44</v>
      </c>
      <c r="C3" s="25">
        <v>3533.6483044982697</v>
      </c>
      <c r="D3" s="25">
        <v>3854.7142805755389</v>
      </c>
      <c r="E3" s="25">
        <v>3623.5616551724142</v>
      </c>
      <c r="F3" s="25">
        <v>3444.8768874172183</v>
      </c>
      <c r="G3" s="25">
        <v>3481.2143042071198</v>
      </c>
      <c r="H3" s="39">
        <v>-3.7304446251368306E-3</v>
      </c>
      <c r="I3" s="25">
        <v>6</v>
      </c>
      <c r="J3" s="25">
        <v>4</v>
      </c>
      <c r="K3" s="25">
        <v>4</v>
      </c>
      <c r="L3" s="25">
        <v>7</v>
      </c>
      <c r="M3" s="25">
        <v>7</v>
      </c>
      <c r="N3" s="25">
        <v>3582.9127043596727</v>
      </c>
      <c r="O3" s="25">
        <v>4</v>
      </c>
    </row>
    <row r="4" spans="1:15" x14ac:dyDescent="0.35">
      <c r="A4" t="s">
        <v>43</v>
      </c>
      <c r="B4" t="s">
        <v>45</v>
      </c>
      <c r="C4" s="25">
        <v>3478.3273043478257</v>
      </c>
      <c r="D4" s="25">
        <v>3408.4341076487253</v>
      </c>
      <c r="E4" s="25">
        <v>3326.0207713498626</v>
      </c>
      <c r="F4" s="25">
        <v>3274.0622341857338</v>
      </c>
      <c r="G4" s="25">
        <v>3209.4207509881426</v>
      </c>
      <c r="H4" s="39">
        <v>-1.9914300113644479E-2</v>
      </c>
      <c r="I4" s="25">
        <v>7</v>
      </c>
      <c r="J4" s="25">
        <v>8</v>
      </c>
      <c r="K4" s="25">
        <v>8</v>
      </c>
      <c r="L4" s="25">
        <v>8</v>
      </c>
      <c r="M4" s="25">
        <v>9</v>
      </c>
      <c r="N4" s="25">
        <v>3336.0016528697574</v>
      </c>
      <c r="O4" s="25">
        <v>8</v>
      </c>
    </row>
    <row r="5" spans="1:15" x14ac:dyDescent="0.35">
      <c r="A5" t="s">
        <v>46</v>
      </c>
      <c r="B5" t="s">
        <v>47</v>
      </c>
      <c r="C5" s="25">
        <v>3703.2519385026735</v>
      </c>
      <c r="D5" s="25">
        <v>3657.2078092783509</v>
      </c>
      <c r="E5" s="25">
        <v>3570.9560050568903</v>
      </c>
      <c r="F5" s="25">
        <v>3484.1847929736509</v>
      </c>
      <c r="G5" s="25">
        <v>3507.2109862671659</v>
      </c>
      <c r="H5" s="39">
        <v>-1.3505522176206819E-2</v>
      </c>
      <c r="I5" s="25">
        <v>4</v>
      </c>
      <c r="J5" s="25">
        <v>5</v>
      </c>
      <c r="K5" s="25">
        <v>6</v>
      </c>
      <c r="L5" s="25">
        <v>5</v>
      </c>
      <c r="M5" s="25">
        <v>6</v>
      </c>
      <c r="N5" s="25">
        <v>3582.6279555328392</v>
      </c>
      <c r="O5" s="25">
        <v>5</v>
      </c>
    </row>
    <row r="6" spans="1:15" x14ac:dyDescent="0.35">
      <c r="A6" t="s">
        <v>46</v>
      </c>
      <c r="B6" t="s">
        <v>48</v>
      </c>
      <c r="C6" s="25">
        <v>3610.3635890410965</v>
      </c>
      <c r="D6" s="25">
        <v>3572.2990957446814</v>
      </c>
      <c r="E6" s="25">
        <v>3497.7286876640419</v>
      </c>
      <c r="F6" s="25">
        <v>3458.2833762886603</v>
      </c>
      <c r="G6" s="25">
        <v>3540.739464720195</v>
      </c>
      <c r="H6" s="39">
        <v>-4.8563921067702465E-3</v>
      </c>
      <c r="I6" s="25">
        <v>5</v>
      </c>
      <c r="J6" s="25">
        <v>6</v>
      </c>
      <c r="K6" s="25">
        <v>7</v>
      </c>
      <c r="L6" s="25">
        <v>6</v>
      </c>
      <c r="M6" s="25">
        <v>4</v>
      </c>
      <c r="N6" s="25">
        <v>3534.9607860489327</v>
      </c>
      <c r="O6" s="25">
        <v>7</v>
      </c>
    </row>
    <row r="7" spans="1:15" x14ac:dyDescent="0.35">
      <c r="A7" t="s">
        <v>49</v>
      </c>
      <c r="B7" t="s">
        <v>50</v>
      </c>
      <c r="C7" s="25">
        <v>4514.3637316561844</v>
      </c>
      <c r="D7" s="25">
        <v>4633.8829175475694</v>
      </c>
      <c r="E7" s="25">
        <v>4475.8307739938073</v>
      </c>
      <c r="F7" s="25">
        <v>4398.0582489878552</v>
      </c>
      <c r="G7" s="25">
        <v>4451.8594969818914</v>
      </c>
      <c r="H7" s="39">
        <v>-3.47952744770752E-3</v>
      </c>
      <c r="I7" s="25">
        <v>2</v>
      </c>
      <c r="J7" s="25">
        <v>2</v>
      </c>
      <c r="K7" s="25">
        <v>2</v>
      </c>
      <c r="L7" s="25">
        <v>2</v>
      </c>
      <c r="M7" s="25">
        <v>2</v>
      </c>
      <c r="N7" s="25">
        <v>4493.4789012574729</v>
      </c>
      <c r="O7" s="25">
        <v>2</v>
      </c>
    </row>
    <row r="8" spans="1:15" x14ac:dyDescent="0.35">
      <c r="A8" t="s">
        <v>49</v>
      </c>
      <c r="B8" t="s">
        <v>51</v>
      </c>
      <c r="C8" s="25">
        <v>5186.054836065573</v>
      </c>
      <c r="D8" s="25">
        <v>5407.5359583333338</v>
      </c>
      <c r="E8" s="25">
        <v>5114.9970081967213</v>
      </c>
      <c r="F8" s="25">
        <v>4972.2719455252927</v>
      </c>
      <c r="G8" s="25">
        <v>4972.4523529411763</v>
      </c>
      <c r="H8" s="39">
        <v>-1.0459938188415285E-2</v>
      </c>
      <c r="I8" s="25">
        <v>1</v>
      </c>
      <c r="J8" s="25">
        <v>1</v>
      </c>
      <c r="K8" s="25">
        <v>1</v>
      </c>
      <c r="L8" s="25">
        <v>1</v>
      </c>
      <c r="M8" s="25">
        <v>1</v>
      </c>
      <c r="N8" s="25">
        <v>5126.7052580645159</v>
      </c>
      <c r="O8" s="25">
        <v>1</v>
      </c>
    </row>
    <row r="9" spans="1:15" x14ac:dyDescent="0.35">
      <c r="A9" t="s">
        <v>49</v>
      </c>
      <c r="B9" t="s">
        <v>52</v>
      </c>
      <c r="C9" s="25">
        <v>4139.085152224824</v>
      </c>
      <c r="D9" s="25">
        <v>4077.5941972477062</v>
      </c>
      <c r="E9" s="25">
        <v>4008.8385300668151</v>
      </c>
      <c r="F9" s="25">
        <v>4054.7305986696229</v>
      </c>
      <c r="G9" s="25">
        <v>4033.5757330415759</v>
      </c>
      <c r="H9" s="39">
        <v>-6.4345899059373712E-3</v>
      </c>
      <c r="I9" s="25">
        <v>3</v>
      </c>
      <c r="J9" s="25">
        <v>3</v>
      </c>
      <c r="K9" s="25">
        <v>3</v>
      </c>
      <c r="L9" s="25">
        <v>3</v>
      </c>
      <c r="M9" s="25">
        <v>3</v>
      </c>
      <c r="N9" s="25">
        <v>4061.809252252252</v>
      </c>
      <c r="O9" s="25">
        <v>3</v>
      </c>
    </row>
    <row r="10" spans="1:15" x14ac:dyDescent="0.35">
      <c r="A10" t="s">
        <v>53</v>
      </c>
      <c r="B10" t="s">
        <v>54</v>
      </c>
      <c r="C10" s="25">
        <v>3429.9022539682537</v>
      </c>
      <c r="D10" s="25">
        <v>3447.6328398791538</v>
      </c>
      <c r="E10" s="25">
        <v>3611.1976666666674</v>
      </c>
      <c r="F10" s="25">
        <v>3670.1822254335261</v>
      </c>
      <c r="G10" s="25">
        <v>3508.4146961325964</v>
      </c>
      <c r="H10" s="39">
        <v>5.6741670839597358E-3</v>
      </c>
      <c r="I10" s="25">
        <v>8</v>
      </c>
      <c r="J10" s="25">
        <v>7</v>
      </c>
      <c r="K10" s="25">
        <v>5</v>
      </c>
      <c r="L10" s="25">
        <v>4</v>
      </c>
      <c r="M10" s="25">
        <v>5</v>
      </c>
      <c r="N10" s="25">
        <v>3535.1603800475059</v>
      </c>
      <c r="O10" s="25">
        <v>6</v>
      </c>
    </row>
    <row r="11" spans="1:15" x14ac:dyDescent="0.35">
      <c r="A11" t="s">
        <v>53</v>
      </c>
      <c r="B11" t="s">
        <v>55</v>
      </c>
      <c r="C11" s="25">
        <v>3121.6154642313545</v>
      </c>
      <c r="D11" s="25">
        <v>3152.448582089552</v>
      </c>
      <c r="E11" s="25">
        <v>3088.6417296511627</v>
      </c>
      <c r="F11" s="25">
        <v>3162.220398230088</v>
      </c>
      <c r="G11" s="25">
        <v>3216.8565273775212</v>
      </c>
      <c r="H11" s="39">
        <v>7.5417982193004551E-3</v>
      </c>
      <c r="I11" s="25">
        <v>9</v>
      </c>
      <c r="J11" s="25">
        <v>9</v>
      </c>
      <c r="K11" s="25">
        <v>9</v>
      </c>
      <c r="L11" s="25">
        <v>9</v>
      </c>
      <c r="M11" s="25">
        <v>8</v>
      </c>
      <c r="N11" s="25">
        <v>3148.6599586654856</v>
      </c>
      <c r="O11" s="25">
        <v>9</v>
      </c>
    </row>
    <row r="12" spans="1:15" x14ac:dyDescent="0.35">
      <c r="A12" t="s">
        <v>56</v>
      </c>
      <c r="C12" s="25">
        <v>3834.4840413734269</v>
      </c>
      <c r="D12" s="25">
        <v>3860.4208300063046</v>
      </c>
      <c r="E12" s="25">
        <v>3764.2919720624486</v>
      </c>
      <c r="F12" s="25">
        <v>3728.7672141414141</v>
      </c>
      <c r="G12" s="25">
        <v>3731.6893772312565</v>
      </c>
      <c r="H12" s="39">
        <v>-6.7704363910064957E-3</v>
      </c>
    </row>
    <row r="13" spans="1:15" x14ac:dyDescent="0.35">
      <c r="F13" s="40" t="s">
        <v>58</v>
      </c>
      <c r="G13">
        <f>G8/G12</f>
        <v>1.3324936376753065</v>
      </c>
    </row>
    <row r="14" spans="1:15" x14ac:dyDescent="0.35">
      <c r="F14" s="40" t="s">
        <v>59</v>
      </c>
      <c r="G14">
        <f>G7/G12</f>
        <v>1.1929876918868763</v>
      </c>
    </row>
    <row r="15" spans="1:15" x14ac:dyDescent="0.35">
      <c r="F15" s="40" t="s">
        <v>60</v>
      </c>
      <c r="G15">
        <f>G11/G12</f>
        <v>0.86203759267988223</v>
      </c>
    </row>
    <row r="17" spans="1:9" x14ac:dyDescent="0.35">
      <c r="A17" t="s">
        <v>161</v>
      </c>
      <c r="C17" t="s">
        <v>4</v>
      </c>
      <c r="D17" t="s">
        <v>226</v>
      </c>
      <c r="I17" t="s">
        <v>283</v>
      </c>
    </row>
    <row r="18" spans="1:9" x14ac:dyDescent="0.35">
      <c r="A18" t="s">
        <v>43</v>
      </c>
      <c r="B18" t="s">
        <v>44</v>
      </c>
      <c r="C18" s="26">
        <f>'Region adjust (L)'!C24+'Region adjust (L)'!C50+'Region adjust (L)'!C34+'Region adjust (L)'!C26+'Region adjust (L)'!C44+'Region adjust (L)'!C11</f>
        <v>2105670</v>
      </c>
      <c r="D18" s="26">
        <f>'Region adjust (L)'!E24+'Region adjust (L)'!E50+'Region adjust (L)'!E34+'Region adjust (L)'!E26+'Region adjust (L)'!E44+'Region adjust (L)'!E11</f>
        <v>911867</v>
      </c>
      <c r="E18">
        <f t="shared" ref="E18:E27" si="0">(C18+D18)/C18</f>
        <v>1.4330531374811817</v>
      </c>
      <c r="G18" s="71">
        <f t="shared" ref="G18:G27" si="1">G3*E18</f>
        <v>4988.7650808883818</v>
      </c>
      <c r="H18" s="25">
        <f t="shared" ref="H18:H26" si="2">G18/G$27*H$27</f>
        <v>8406.5280541407556</v>
      </c>
      <c r="I18" s="79">
        <f t="shared" ref="I18:I27" si="3">(H18-H$27)/H$27</f>
        <v>-0.15934719458592445</v>
      </c>
    </row>
    <row r="19" spans="1:9" x14ac:dyDescent="0.35">
      <c r="A19" t="s">
        <v>43</v>
      </c>
      <c r="B19" t="s">
        <v>45</v>
      </c>
      <c r="C19" s="26">
        <f>'Region adjust (L)'!C37+'Region adjust (L)'!C43+'Region adjust (L)'!C35</f>
        <v>4819843</v>
      </c>
      <c r="D19" s="26">
        <f>'Region adjust (L)'!E37+'Region adjust (L)'!E43+'Region adjust (L)'!E35</f>
        <v>3157772</v>
      </c>
      <c r="E19">
        <f t="shared" si="0"/>
        <v>1.6551607593857309</v>
      </c>
      <c r="G19" s="71">
        <f t="shared" si="1"/>
        <v>5312.1072873938565</v>
      </c>
      <c r="H19" s="25">
        <f t="shared" si="2"/>
        <v>8951.3894148188174</v>
      </c>
      <c r="I19" s="79">
        <f t="shared" si="3"/>
        <v>-0.10486105851811826</v>
      </c>
    </row>
    <row r="20" spans="1:9" x14ac:dyDescent="0.35">
      <c r="A20" t="s">
        <v>46</v>
      </c>
      <c r="B20" t="s">
        <v>47</v>
      </c>
      <c r="C20" s="26">
        <f>'Region adjust (L)'!C54+'Region adjust (L)'!C18+'Region adjust (L)'!C19+'Region adjust (L)'!C40+'Region adjust (L)'!C27</f>
        <v>5664631</v>
      </c>
      <c r="D20" s="26">
        <f>'Region adjust (L)'!E54+'Region adjust (L)'!E18+'Region adjust (L)'!E19+'Region adjust (L)'!E40+'Region adjust (L)'!E27</f>
        <v>3406061</v>
      </c>
      <c r="E20">
        <f t="shared" si="0"/>
        <v>1.6012855912415125</v>
      </c>
      <c r="G20" s="71">
        <f t="shared" si="1"/>
        <v>5616.0464177535468</v>
      </c>
      <c r="H20" s="25">
        <f t="shared" si="2"/>
        <v>9463.5548073942646</v>
      </c>
      <c r="I20" s="79">
        <f t="shared" si="3"/>
        <v>-5.3644519260573544E-2</v>
      </c>
    </row>
    <row r="21" spans="1:9" x14ac:dyDescent="0.35">
      <c r="A21" t="s">
        <v>46</v>
      </c>
      <c r="B21" t="s">
        <v>48</v>
      </c>
      <c r="C21" s="26">
        <f>'Region adjust (L)'!C39+'Region adjust (L)'!C46+'Region adjust (L)'!C32+'Region adjust (L)'!C21+'Region adjust (L)'!C30+'Region adjust (L)'!C20+'Region adjust (L)'!C28</f>
        <v>2778018</v>
      </c>
      <c r="D21" s="26">
        <f>'Region adjust (L)'!E39+'Region adjust (L)'!E46+'Region adjust (L)'!E32+'Region adjust (L)'!E21+'Region adjust (L)'!E30+'Region adjust (L)'!E20+'Region adjust (L)'!E28</f>
        <v>1284180</v>
      </c>
      <c r="E21">
        <f t="shared" si="0"/>
        <v>1.4622648233380777</v>
      </c>
      <c r="G21" s="71">
        <f t="shared" si="1"/>
        <v>5177.498767865236</v>
      </c>
      <c r="H21" s="25">
        <f t="shared" si="2"/>
        <v>8724.5616774136743</v>
      </c>
      <c r="I21" s="79">
        <f t="shared" si="3"/>
        <v>-0.12754383225863258</v>
      </c>
    </row>
    <row r="22" spans="1:9" x14ac:dyDescent="0.35">
      <c r="A22" t="s">
        <v>49</v>
      </c>
      <c r="B22" t="s">
        <v>50</v>
      </c>
      <c r="C22" s="26">
        <f>'Region adjust (L)'!C53+'Region adjust (L)'!C25+'Region adjust (L)'!C12+'Region adjust (L)'!C51+'Region adjust (L)'!C38+'Region adjust (L)'!C45+'Region adjust (L)'!C15+'Region adjust (L)'!C14</f>
        <v>8045415</v>
      </c>
      <c r="D22" s="26">
        <f>'Region adjust (L)'!E53+'Region adjust (L)'!E25+'Region adjust (L)'!E12+'Region adjust (L)'!E51+'Region adjust (L)'!E38+'Region adjust (L)'!E45+'Region adjust (L)'!E15+'Region adjust (L)'!E14</f>
        <v>4492379</v>
      </c>
      <c r="E22">
        <f t="shared" si="0"/>
        <v>1.5583775355279994</v>
      </c>
      <c r="G22" s="71">
        <f t="shared" si="1"/>
        <v>6937.6778314235589</v>
      </c>
      <c r="H22" s="25">
        <f t="shared" si="2"/>
        <v>11690.625310035006</v>
      </c>
      <c r="I22" s="79">
        <f t="shared" si="3"/>
        <v>0.16906253100350058</v>
      </c>
    </row>
    <row r="23" spans="1:9" x14ac:dyDescent="0.35">
      <c r="A23" t="s">
        <v>49</v>
      </c>
      <c r="B23" t="s">
        <v>51</v>
      </c>
      <c r="C23" s="26">
        <f>'Region adjust (L)'!C22+'Region adjust (L)'!C47+'Region adjust (L)'!C29+'Region adjust (L)'!C5</f>
        <v>2510346</v>
      </c>
      <c r="D23" s="26">
        <f>'Region adjust (L)'!E22+'Region adjust (L)'!E47+'Region adjust (L)'!E29+'Region adjust (L)'!E5</f>
        <v>1423448</v>
      </c>
      <c r="E23">
        <f t="shared" si="0"/>
        <v>1.5670325923199431</v>
      </c>
      <c r="G23" s="71">
        <f t="shared" si="1"/>
        <v>7791.9949008168123</v>
      </c>
      <c r="H23" s="25">
        <f t="shared" si="2"/>
        <v>13130.228156538809</v>
      </c>
      <c r="I23" s="79">
        <f t="shared" si="3"/>
        <v>0.31302281565388096</v>
      </c>
    </row>
    <row r="24" spans="1:9" x14ac:dyDescent="0.35">
      <c r="A24" t="s">
        <v>49</v>
      </c>
      <c r="B24" t="s">
        <v>52</v>
      </c>
      <c r="C24" s="26">
        <f>'Region adjust (L)'!C48+'Region adjust (L)'!C41+'Region adjust (L)'!C23+'Region adjust (L)'!C8</f>
        <v>4073596</v>
      </c>
      <c r="D24" s="26">
        <f>'Region adjust (L)'!E48+'Region adjust (L)'!E41+'Region adjust (L)'!E23+'Region adjust (L)'!E8</f>
        <v>2331464</v>
      </c>
      <c r="E24">
        <f t="shared" si="0"/>
        <v>1.5723355973444593</v>
      </c>
      <c r="G24" s="71">
        <f t="shared" si="1"/>
        <v>6342.1347096460413</v>
      </c>
      <c r="H24" s="25">
        <f t="shared" si="2"/>
        <v>10687.080368652089</v>
      </c>
      <c r="I24" s="79">
        <f t="shared" si="3"/>
        <v>6.8708036865208849E-2</v>
      </c>
    </row>
    <row r="25" spans="1:9" x14ac:dyDescent="0.35">
      <c r="A25" t="s">
        <v>53</v>
      </c>
      <c r="B25" t="s">
        <v>54</v>
      </c>
      <c r="C25" s="26">
        <f>'Region adjust (L)'!C31+'Region adjust (L)'!C17+'Region adjust (L)'!C55+'Region adjust (L)'!C33+'Region adjust (L)'!C49+'Region adjust (L)'!C10+'Region adjust (L)'!C7+'Region adjust (L)'!C36</f>
        <v>2681236</v>
      </c>
      <c r="D25" s="26">
        <f>'Region adjust (L)'!E31+'Region adjust (L)'!E17+'Region adjust (L)'!E55+'Region adjust (L)'!E33+'Region adjust (L)'!E49+'Region adjust (L)'!E10+'Region adjust (L)'!E7+'Region adjust (L)'!E36</f>
        <v>1585380</v>
      </c>
      <c r="E25">
        <f t="shared" si="0"/>
        <v>1.5912870034566149</v>
      </c>
      <c r="G25" s="71">
        <f t="shared" si="1"/>
        <v>5582.8947086919898</v>
      </c>
      <c r="H25" s="25">
        <f t="shared" si="2"/>
        <v>9407.6911281570247</v>
      </c>
      <c r="I25" s="79">
        <f t="shared" si="3"/>
        <v>-5.9230887184297532E-2</v>
      </c>
    </row>
    <row r="26" spans="1:9" x14ac:dyDescent="0.35">
      <c r="A26" t="s">
        <v>53</v>
      </c>
      <c r="B26" t="s">
        <v>55</v>
      </c>
      <c r="C26" s="26">
        <f>'Region adjust (L)'!C9+'Region adjust (L)'!C42+'Region adjust (L)'!C52+'Region adjust (L)'!C6+'Region adjust (L)'!C16</f>
        <v>5144101</v>
      </c>
      <c r="D26" s="26">
        <f>'Region adjust (L)'!E9+'Region adjust (L)'!E42+'Region adjust (L)'!E52+'Region adjust (L)'!E6+'Region adjust (L)'!E16</f>
        <v>3733151</v>
      </c>
      <c r="E26">
        <f t="shared" si="0"/>
        <v>1.7257149499980657</v>
      </c>
      <c r="G26" s="71">
        <f t="shared" si="1"/>
        <v>5551.3774012942504</v>
      </c>
      <c r="H26" s="25">
        <f t="shared" si="2"/>
        <v>9354.5815660641765</v>
      </c>
      <c r="I26" s="79">
        <f t="shared" si="3"/>
        <v>-6.4541843393582349E-2</v>
      </c>
    </row>
    <row r="27" spans="1:9" x14ac:dyDescent="0.35">
      <c r="A27" t="s">
        <v>106</v>
      </c>
      <c r="B27" t="s">
        <v>227</v>
      </c>
      <c r="C27" s="26">
        <f>SUM(C18:C26)</f>
        <v>37822856</v>
      </c>
      <c r="D27" s="26">
        <f>SUM(D18:D26)</f>
        <v>22325702</v>
      </c>
      <c r="E27">
        <f t="shared" si="0"/>
        <v>1.5902701266133896</v>
      </c>
      <c r="G27" s="71">
        <f t="shared" si="1"/>
        <v>5934.3941384113914</v>
      </c>
      <c r="H27" s="26">
        <v>10000</v>
      </c>
      <c r="I27" s="79">
        <f t="shared" si="3"/>
        <v>0</v>
      </c>
    </row>
    <row r="28" spans="1:9" x14ac:dyDescent="0.35">
      <c r="C28" s="26"/>
      <c r="F28" s="40" t="s">
        <v>58</v>
      </c>
      <c r="G28">
        <f>G23/G27</f>
        <v>1.313022815653881</v>
      </c>
    </row>
    <row r="29" spans="1:9" x14ac:dyDescent="0.35">
      <c r="F29" s="40" t="s">
        <v>59</v>
      </c>
      <c r="G29">
        <f>G22/G27</f>
        <v>1.1690625310035005</v>
      </c>
    </row>
    <row r="30" spans="1:9" x14ac:dyDescent="0.35">
      <c r="F30" s="40" t="s">
        <v>60</v>
      </c>
      <c r="G30">
        <f>G18/G27</f>
        <v>0.8406528054140755</v>
      </c>
    </row>
    <row r="32" spans="1:9" x14ac:dyDescent="0.35">
      <c r="A32" t="s">
        <v>230</v>
      </c>
    </row>
    <row r="33" spans="1:10" x14ac:dyDescent="0.35">
      <c r="C33">
        <v>2015</v>
      </c>
      <c r="D33">
        <v>2016</v>
      </c>
      <c r="E33">
        <v>2017</v>
      </c>
      <c r="F33">
        <v>2018</v>
      </c>
      <c r="G33">
        <v>2019</v>
      </c>
    </row>
    <row r="34" spans="1:10" x14ac:dyDescent="0.35">
      <c r="A34" t="s">
        <v>43</v>
      </c>
      <c r="B34" t="s">
        <v>44</v>
      </c>
      <c r="C34" s="71">
        <v>0.44068666423860375</v>
      </c>
      <c r="D34" s="71">
        <v>0.46242971275785932</v>
      </c>
      <c r="E34" s="71">
        <v>0.45346356265869436</v>
      </c>
      <c r="F34" s="71">
        <v>0.44894112580415196</v>
      </c>
      <c r="G34" s="71">
        <v>0.46419235263758396</v>
      </c>
      <c r="H34" s="71">
        <v>0.45394268361937867</v>
      </c>
      <c r="I34">
        <v>2</v>
      </c>
      <c r="J34">
        <v>1.0455835526094199</v>
      </c>
    </row>
    <row r="35" spans="1:10" x14ac:dyDescent="0.35">
      <c r="A35" t="s">
        <v>43</v>
      </c>
      <c r="B35" t="s">
        <v>45</v>
      </c>
      <c r="C35" s="71">
        <v>0.44210388800838213</v>
      </c>
      <c r="D35" s="71">
        <v>0.44326598009244217</v>
      </c>
      <c r="E35" s="71">
        <v>0.44480163545841245</v>
      </c>
      <c r="F35" s="71">
        <v>0.44810577575592797</v>
      </c>
      <c r="G35" s="71">
        <v>0.44871772979568558</v>
      </c>
      <c r="H35" s="71">
        <v>0.44539900182217007</v>
      </c>
      <c r="I35">
        <v>4</v>
      </c>
    </row>
    <row r="36" spans="1:10" x14ac:dyDescent="0.35">
      <c r="A36" t="s">
        <v>46</v>
      </c>
      <c r="B36" t="s">
        <v>47</v>
      </c>
      <c r="C36" s="71">
        <v>0.43642750771931954</v>
      </c>
      <c r="D36" s="71">
        <v>0.44713495157286948</v>
      </c>
      <c r="E36" s="71">
        <v>0.44502892834511465</v>
      </c>
      <c r="F36" s="71">
        <v>0.4375087686239712</v>
      </c>
      <c r="G36" s="71">
        <v>0.44261045504203361</v>
      </c>
      <c r="H36" s="71">
        <v>0.44174212226066167</v>
      </c>
      <c r="I36">
        <v>6</v>
      </c>
    </row>
    <row r="37" spans="1:10" x14ac:dyDescent="0.35">
      <c r="A37" t="s">
        <v>46</v>
      </c>
      <c r="B37" t="s">
        <v>48</v>
      </c>
      <c r="C37" s="71">
        <v>0.43061515577408654</v>
      </c>
      <c r="D37" s="71">
        <v>0.43891574922563092</v>
      </c>
      <c r="E37" s="71">
        <v>0.43546835486056124</v>
      </c>
      <c r="F37" s="71">
        <v>0.43846790424127841</v>
      </c>
      <c r="G37" s="71">
        <v>0.47553369955817093</v>
      </c>
      <c r="H37" s="71">
        <v>0.44380017273194561</v>
      </c>
      <c r="I37">
        <v>5</v>
      </c>
    </row>
    <row r="38" spans="1:10" x14ac:dyDescent="0.35">
      <c r="A38" t="s">
        <v>49</v>
      </c>
      <c r="B38" t="s">
        <v>50</v>
      </c>
      <c r="C38" s="71">
        <v>0.47699627347959273</v>
      </c>
      <c r="D38" s="71">
        <v>0.48551902922182999</v>
      </c>
      <c r="E38" s="71">
        <v>0.48036073240313931</v>
      </c>
      <c r="F38" s="71">
        <v>0.48126910691766511</v>
      </c>
      <c r="G38" s="71">
        <v>0.49011489015481352</v>
      </c>
      <c r="H38" s="71">
        <v>0.48285200643540815</v>
      </c>
      <c r="I38">
        <v>1</v>
      </c>
      <c r="J38">
        <v>1.1121715020230101</v>
      </c>
    </row>
    <row r="39" spans="1:10" x14ac:dyDescent="0.35">
      <c r="A39" t="s">
        <v>49</v>
      </c>
      <c r="B39" t="s">
        <v>51</v>
      </c>
      <c r="C39" s="71">
        <v>0.45113621389904562</v>
      </c>
      <c r="D39" s="71">
        <v>0.46269138924857539</v>
      </c>
      <c r="E39" s="71">
        <v>0.44495487558967983</v>
      </c>
      <c r="F39" s="71">
        <v>0.45558430710125669</v>
      </c>
      <c r="G39" s="71">
        <v>0.45205530512187186</v>
      </c>
      <c r="H39" s="71">
        <v>0.45328441819208587</v>
      </c>
      <c r="I39">
        <v>3</v>
      </c>
    </row>
    <row r="40" spans="1:10" x14ac:dyDescent="0.35">
      <c r="A40" t="s">
        <v>49</v>
      </c>
      <c r="B40" t="s">
        <v>52</v>
      </c>
      <c r="C40" s="71">
        <v>0.38679330791462568</v>
      </c>
      <c r="D40" s="71">
        <v>0.38907847701351922</v>
      </c>
      <c r="E40" s="71">
        <v>0.39392325540373679</v>
      </c>
      <c r="F40" s="71">
        <v>0.40020753553359373</v>
      </c>
      <c r="G40" s="71">
        <v>0.40341601124714349</v>
      </c>
      <c r="H40" s="71">
        <v>0.39468371742252378</v>
      </c>
      <c r="I40">
        <v>8</v>
      </c>
      <c r="J40">
        <v>0.90909010831365666</v>
      </c>
    </row>
    <row r="41" spans="1:10" x14ac:dyDescent="0.35">
      <c r="A41" t="s">
        <v>53</v>
      </c>
      <c r="B41" t="s">
        <v>54</v>
      </c>
      <c r="C41" s="71">
        <v>0.36152449599449088</v>
      </c>
      <c r="D41" s="71">
        <v>0.38185144163862311</v>
      </c>
      <c r="E41" s="71">
        <v>0.39875912369680006</v>
      </c>
      <c r="F41" s="71">
        <v>0.42492194268111627</v>
      </c>
      <c r="G41" s="71">
        <v>0.42497650835249279</v>
      </c>
      <c r="H41" s="71">
        <v>0.3984067024727046</v>
      </c>
      <c r="I41">
        <v>7</v>
      </c>
    </row>
    <row r="42" spans="1:10" x14ac:dyDescent="0.35">
      <c r="A42" t="s">
        <v>53</v>
      </c>
      <c r="B42" t="s">
        <v>55</v>
      </c>
      <c r="C42" s="71">
        <v>0.35281653689871217</v>
      </c>
      <c r="D42" s="71">
        <v>0.36335151403592669</v>
      </c>
      <c r="E42" s="71">
        <v>0.36556123235402394</v>
      </c>
      <c r="F42" s="71">
        <v>0.36882978836870839</v>
      </c>
      <c r="G42" s="71">
        <v>0.38405667872023447</v>
      </c>
      <c r="H42" s="71">
        <v>0.36692315007552112</v>
      </c>
      <c r="I42">
        <v>9</v>
      </c>
      <c r="J42">
        <v>0.8451481313272633</v>
      </c>
    </row>
    <row r="43" spans="1:10" x14ac:dyDescent="0.35">
      <c r="A43" t="s">
        <v>229</v>
      </c>
      <c r="C43" s="71">
        <v>0.4244762968510758</v>
      </c>
      <c r="D43" s="71">
        <v>0.43372717305267194</v>
      </c>
      <c r="E43" s="71">
        <v>0.43261357946742884</v>
      </c>
      <c r="F43" s="71">
        <v>0.43574934878631183</v>
      </c>
      <c r="G43" s="71">
        <v>0.44419595979322068</v>
      </c>
      <c r="H43" s="71">
        <v>0.43415247159014181</v>
      </c>
    </row>
    <row r="45" spans="1:10" x14ac:dyDescent="0.35">
      <c r="B45" t="s">
        <v>44</v>
      </c>
      <c r="H45" s="114">
        <f t="shared" ref="H45:H54" si="4">H34*100</f>
        <v>45.394268361937868</v>
      </c>
      <c r="I45" s="79">
        <f t="shared" ref="I45:I53" si="5">(H45-H$54)/H$54</f>
        <v>4.5583552609415275E-2</v>
      </c>
    </row>
    <row r="46" spans="1:10" x14ac:dyDescent="0.35">
      <c r="B46" t="s">
        <v>45</v>
      </c>
      <c r="H46" s="114">
        <f t="shared" si="4"/>
        <v>44.539900182217011</v>
      </c>
      <c r="I46" s="79">
        <f t="shared" si="5"/>
        <v>2.5904563414867573E-2</v>
      </c>
    </row>
    <row r="47" spans="1:10" x14ac:dyDescent="0.35">
      <c r="B47" t="s">
        <v>47</v>
      </c>
      <c r="H47" s="114">
        <f t="shared" si="4"/>
        <v>44.174212226066167</v>
      </c>
      <c r="I47" s="79">
        <f t="shared" si="5"/>
        <v>1.7481532795890282E-2</v>
      </c>
    </row>
    <row r="48" spans="1:10" x14ac:dyDescent="0.35">
      <c r="B48" t="s">
        <v>48</v>
      </c>
      <c r="H48" s="114">
        <f t="shared" si="4"/>
        <v>44.380017273194561</v>
      </c>
      <c r="I48" s="79">
        <f t="shared" si="5"/>
        <v>2.2221919194581156E-2</v>
      </c>
    </row>
    <row r="49" spans="2:9" x14ac:dyDescent="0.35">
      <c r="B49" t="s">
        <v>50</v>
      </c>
      <c r="H49" s="114">
        <f t="shared" si="4"/>
        <v>48.285200643540819</v>
      </c>
      <c r="I49" s="79">
        <f t="shared" si="5"/>
        <v>0.11217150202300544</v>
      </c>
    </row>
    <row r="50" spans="2:9" x14ac:dyDescent="0.35">
      <c r="B50" t="s">
        <v>51</v>
      </c>
      <c r="H50" s="114">
        <f t="shared" si="4"/>
        <v>45.328441819208585</v>
      </c>
      <c r="I50" s="79">
        <f t="shared" si="5"/>
        <v>4.4067344663202626E-2</v>
      </c>
    </row>
    <row r="51" spans="2:9" x14ac:dyDescent="0.35">
      <c r="B51" t="s">
        <v>52</v>
      </c>
      <c r="H51" s="114">
        <f t="shared" si="4"/>
        <v>39.46837174225238</v>
      </c>
      <c r="I51" s="79">
        <f t="shared" si="5"/>
        <v>-9.0909891686343211E-2</v>
      </c>
    </row>
    <row r="52" spans="2:9" x14ac:dyDescent="0.35">
      <c r="B52" t="s">
        <v>54</v>
      </c>
      <c r="H52" s="114">
        <f t="shared" si="4"/>
        <v>39.840670247270459</v>
      </c>
      <c r="I52" s="79">
        <f t="shared" si="5"/>
        <v>-8.2334597765880521E-2</v>
      </c>
    </row>
    <row r="53" spans="2:9" x14ac:dyDescent="0.35">
      <c r="B53" t="s">
        <v>55</v>
      </c>
      <c r="H53" s="114">
        <f t="shared" si="4"/>
        <v>36.692315007552111</v>
      </c>
      <c r="I53" s="79">
        <f t="shared" si="5"/>
        <v>-0.15485186867273668</v>
      </c>
    </row>
    <row r="54" spans="2:9" x14ac:dyDescent="0.35">
      <c r="H54" s="114">
        <f t="shared" si="4"/>
        <v>43.415247159014179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55C6-6E2E-4612-A6F3-4E335BB69BFE}">
  <sheetPr>
    <tabColor theme="9" tint="0.79998168889431442"/>
  </sheetPr>
  <dimension ref="A1:F61"/>
  <sheetViews>
    <sheetView workbookViewId="0">
      <selection sqref="A1:XFD1048576"/>
    </sheetView>
  </sheetViews>
  <sheetFormatPr defaultRowHeight="14.5" x14ac:dyDescent="0.35"/>
  <sheetData>
    <row r="1" spans="1:6" x14ac:dyDescent="0.35">
      <c r="A1" t="s">
        <v>225</v>
      </c>
    </row>
    <row r="2" spans="1:6" x14ac:dyDescent="0.35">
      <c r="A2" t="s">
        <v>224</v>
      </c>
    </row>
    <row r="3" spans="1:6" x14ac:dyDescent="0.35">
      <c r="A3" t="s">
        <v>223</v>
      </c>
      <c r="B3" t="s">
        <v>222</v>
      </c>
      <c r="C3" t="s">
        <v>221</v>
      </c>
      <c r="D3" t="s">
        <v>220</v>
      </c>
      <c r="E3" t="s">
        <v>219</v>
      </c>
      <c r="F3" t="s">
        <v>218</v>
      </c>
    </row>
    <row r="4" spans="1:6" x14ac:dyDescent="0.35">
      <c r="A4" t="s">
        <v>217</v>
      </c>
      <c r="B4" s="26">
        <v>60242615</v>
      </c>
      <c r="C4" s="26">
        <v>37898471</v>
      </c>
      <c r="D4">
        <v>0.629</v>
      </c>
      <c r="E4" s="26">
        <v>22344144</v>
      </c>
      <c r="F4">
        <v>0.371</v>
      </c>
    </row>
    <row r="5" spans="1:6" x14ac:dyDescent="0.35">
      <c r="A5" t="s">
        <v>216</v>
      </c>
      <c r="B5" s="26">
        <v>1046588</v>
      </c>
      <c r="C5" s="26">
        <v>605614</v>
      </c>
      <c r="D5">
        <v>0.57899999999999996</v>
      </c>
      <c r="E5" s="26">
        <v>440974</v>
      </c>
      <c r="F5">
        <v>0.42099999999999999</v>
      </c>
    </row>
    <row r="6" spans="1:6" x14ac:dyDescent="0.35">
      <c r="A6" t="s">
        <v>215</v>
      </c>
      <c r="B6" s="26">
        <v>100297</v>
      </c>
      <c r="C6" s="26">
        <v>98629</v>
      </c>
      <c r="D6">
        <v>0.98299999999999998</v>
      </c>
      <c r="E6" s="26">
        <v>1668</v>
      </c>
      <c r="F6">
        <v>1.7000000000000001E-2</v>
      </c>
    </row>
    <row r="7" spans="1:6" x14ac:dyDescent="0.35">
      <c r="A7" t="s">
        <v>214</v>
      </c>
      <c r="B7" s="26">
        <v>1325833</v>
      </c>
      <c r="C7" s="26">
        <v>789199</v>
      </c>
      <c r="D7">
        <v>0.59499999999999997</v>
      </c>
      <c r="E7" s="26">
        <v>536634</v>
      </c>
      <c r="F7">
        <v>0.40500000000000003</v>
      </c>
    </row>
    <row r="8" spans="1:6" x14ac:dyDescent="0.35">
      <c r="A8" t="s">
        <v>213</v>
      </c>
      <c r="B8" s="26">
        <v>637556</v>
      </c>
      <c r="C8" s="26">
        <v>468473</v>
      </c>
      <c r="D8">
        <v>0.73499999999999999</v>
      </c>
      <c r="E8" s="26">
        <v>169083</v>
      </c>
      <c r="F8">
        <v>0.26500000000000001</v>
      </c>
    </row>
    <row r="9" spans="1:6" x14ac:dyDescent="0.35">
      <c r="A9" t="s">
        <v>212</v>
      </c>
      <c r="B9" s="26">
        <v>6277166</v>
      </c>
      <c r="C9" s="26">
        <v>3528546</v>
      </c>
      <c r="D9">
        <v>0.56200000000000006</v>
      </c>
      <c r="E9" s="26">
        <v>2748620</v>
      </c>
      <c r="F9">
        <v>0.438</v>
      </c>
    </row>
    <row r="10" spans="1:6" x14ac:dyDescent="0.35">
      <c r="A10" t="s">
        <v>211</v>
      </c>
      <c r="B10" s="26">
        <v>911545</v>
      </c>
      <c r="C10" s="26">
        <v>530678</v>
      </c>
      <c r="D10">
        <v>0.58199999999999996</v>
      </c>
      <c r="E10" s="26">
        <v>380867</v>
      </c>
      <c r="F10">
        <v>0.41799999999999998</v>
      </c>
    </row>
    <row r="11" spans="1:6" x14ac:dyDescent="0.35">
      <c r="A11" t="s">
        <v>210</v>
      </c>
      <c r="B11" s="26">
        <v>680357</v>
      </c>
      <c r="C11" s="26">
        <v>398772</v>
      </c>
      <c r="D11">
        <v>0.58599999999999997</v>
      </c>
      <c r="E11" s="26">
        <v>281585</v>
      </c>
      <c r="F11">
        <v>0.41399999999999998</v>
      </c>
    </row>
    <row r="12" spans="1:6" x14ac:dyDescent="0.35">
      <c r="A12" t="s">
        <v>209</v>
      </c>
      <c r="B12" s="26">
        <v>208278</v>
      </c>
      <c r="C12" s="26">
        <v>174473</v>
      </c>
      <c r="D12">
        <v>0.83799999999999997</v>
      </c>
      <c r="E12" s="26">
        <v>33805</v>
      </c>
      <c r="F12">
        <v>0.16200000000000001</v>
      </c>
    </row>
    <row r="13" spans="1:6" x14ac:dyDescent="0.35">
      <c r="A13" t="s">
        <v>208</v>
      </c>
      <c r="B13" s="26">
        <v>94058</v>
      </c>
      <c r="C13" s="26">
        <v>75614</v>
      </c>
      <c r="D13">
        <v>0.80400000000000005</v>
      </c>
      <c r="E13" s="26">
        <v>18444</v>
      </c>
      <c r="F13">
        <v>0.19600000000000001</v>
      </c>
    </row>
    <row r="14" spans="1:6" x14ac:dyDescent="0.35">
      <c r="A14" t="s">
        <v>207</v>
      </c>
      <c r="B14" s="26">
        <v>4556611</v>
      </c>
      <c r="C14" s="26">
        <v>2455795</v>
      </c>
      <c r="D14">
        <v>0.53900000000000003</v>
      </c>
      <c r="E14" s="26">
        <v>2100816</v>
      </c>
      <c r="F14">
        <v>0.46100000000000002</v>
      </c>
    </row>
    <row r="15" spans="1:6" x14ac:dyDescent="0.35">
      <c r="A15" t="s">
        <v>206</v>
      </c>
      <c r="B15" s="26">
        <v>1727412</v>
      </c>
      <c r="C15" s="26">
        <v>1040090</v>
      </c>
      <c r="D15">
        <v>0.60199999999999998</v>
      </c>
      <c r="E15" s="26">
        <v>687322</v>
      </c>
      <c r="F15">
        <v>0.39800000000000002</v>
      </c>
    </row>
    <row r="16" spans="1:6" x14ac:dyDescent="0.35">
      <c r="A16" t="s">
        <v>205</v>
      </c>
      <c r="B16" s="26">
        <v>274091</v>
      </c>
      <c r="C16" s="26">
        <v>148146</v>
      </c>
      <c r="D16">
        <v>0.54100000000000004</v>
      </c>
      <c r="E16" s="26">
        <v>125945</v>
      </c>
      <c r="F16">
        <v>0.46</v>
      </c>
    </row>
    <row r="17" spans="1:6" x14ac:dyDescent="0.35">
      <c r="A17" t="s">
        <v>204</v>
      </c>
      <c r="B17" s="26">
        <v>334445</v>
      </c>
      <c r="C17" s="26">
        <v>220061</v>
      </c>
      <c r="D17">
        <v>0.65800000000000003</v>
      </c>
      <c r="E17" s="26">
        <v>114384</v>
      </c>
      <c r="F17">
        <v>0.34200000000000003</v>
      </c>
    </row>
    <row r="18" spans="1:6" x14ac:dyDescent="0.35">
      <c r="A18" t="s">
        <v>203</v>
      </c>
      <c r="B18" s="26">
        <v>2233242</v>
      </c>
      <c r="C18" s="26">
        <v>1623815</v>
      </c>
      <c r="D18">
        <v>0.72699999999999998</v>
      </c>
      <c r="E18" s="26">
        <v>609427</v>
      </c>
      <c r="F18">
        <v>0.27300000000000002</v>
      </c>
    </row>
    <row r="19" spans="1:6" x14ac:dyDescent="0.35">
      <c r="A19" t="s">
        <v>202</v>
      </c>
      <c r="B19" s="26">
        <v>1260564</v>
      </c>
      <c r="C19" s="26">
        <v>857098</v>
      </c>
      <c r="D19">
        <v>0.68</v>
      </c>
      <c r="E19" s="26">
        <v>403467</v>
      </c>
      <c r="F19">
        <v>0.32</v>
      </c>
    </row>
    <row r="20" spans="1:6" x14ac:dyDescent="0.35">
      <c r="A20" t="s">
        <v>201</v>
      </c>
      <c r="B20" s="26">
        <v>625217</v>
      </c>
      <c r="C20" s="26">
        <v>483559</v>
      </c>
      <c r="D20">
        <v>0.77300000000000002</v>
      </c>
      <c r="E20" s="26">
        <v>141658</v>
      </c>
      <c r="F20">
        <v>0.22700000000000001</v>
      </c>
    </row>
    <row r="21" spans="1:6" x14ac:dyDescent="0.35">
      <c r="A21" t="s">
        <v>200</v>
      </c>
      <c r="B21" s="26">
        <v>534927</v>
      </c>
      <c r="C21" s="26">
        <v>434951</v>
      </c>
      <c r="D21">
        <v>0.81299999999999994</v>
      </c>
      <c r="E21" s="26">
        <v>99975</v>
      </c>
      <c r="F21">
        <v>0.187</v>
      </c>
    </row>
    <row r="22" spans="1:6" x14ac:dyDescent="0.35">
      <c r="A22" t="s">
        <v>199</v>
      </c>
      <c r="B22" s="26">
        <v>928872</v>
      </c>
      <c r="C22" s="26">
        <v>612687</v>
      </c>
      <c r="D22">
        <v>0.66</v>
      </c>
      <c r="E22" s="26">
        <v>316185</v>
      </c>
      <c r="F22">
        <v>0.34</v>
      </c>
    </row>
    <row r="23" spans="1:6" x14ac:dyDescent="0.35">
      <c r="A23" t="s">
        <v>198</v>
      </c>
      <c r="B23" s="26">
        <v>869795</v>
      </c>
      <c r="C23" s="26">
        <v>534480</v>
      </c>
      <c r="D23">
        <v>0.61499999999999999</v>
      </c>
      <c r="E23" s="26">
        <v>335316</v>
      </c>
      <c r="F23">
        <v>0.38600000000000001</v>
      </c>
    </row>
    <row r="24" spans="1:6" x14ac:dyDescent="0.35">
      <c r="A24" t="s">
        <v>197</v>
      </c>
      <c r="B24" s="26">
        <v>339400</v>
      </c>
      <c r="C24" s="26">
        <v>217064</v>
      </c>
      <c r="D24">
        <v>0.64</v>
      </c>
      <c r="E24" s="26">
        <v>122336</v>
      </c>
      <c r="F24">
        <v>0.36</v>
      </c>
    </row>
    <row r="25" spans="1:6" x14ac:dyDescent="0.35">
      <c r="A25" t="s">
        <v>196</v>
      </c>
      <c r="B25" s="26">
        <v>1036953</v>
      </c>
      <c r="C25" s="26">
        <v>909418</v>
      </c>
      <c r="D25">
        <v>0.877</v>
      </c>
      <c r="E25" s="26">
        <v>127535</v>
      </c>
      <c r="F25">
        <v>0.123</v>
      </c>
    </row>
    <row r="26" spans="1:6" x14ac:dyDescent="0.35">
      <c r="A26" t="s">
        <v>195</v>
      </c>
      <c r="B26" s="26">
        <v>1331279</v>
      </c>
      <c r="C26" s="26">
        <v>997248</v>
      </c>
      <c r="D26">
        <v>0.749</v>
      </c>
      <c r="E26" s="26">
        <v>334031</v>
      </c>
      <c r="F26">
        <v>0.251</v>
      </c>
    </row>
    <row r="27" spans="1:6" x14ac:dyDescent="0.35">
      <c r="A27" t="s">
        <v>194</v>
      </c>
      <c r="B27" s="26">
        <v>2064900</v>
      </c>
      <c r="C27" s="26">
        <v>1198786</v>
      </c>
      <c r="D27">
        <v>0.58099999999999996</v>
      </c>
      <c r="E27" s="26">
        <v>866115</v>
      </c>
      <c r="F27">
        <v>0.41899999999999998</v>
      </c>
    </row>
    <row r="28" spans="1:6" x14ac:dyDescent="0.35">
      <c r="A28" t="s">
        <v>193</v>
      </c>
      <c r="B28" s="26">
        <v>1021819</v>
      </c>
      <c r="C28" s="26">
        <v>555372</v>
      </c>
      <c r="D28">
        <v>0.54400000000000004</v>
      </c>
      <c r="E28" s="26">
        <v>466447</v>
      </c>
      <c r="F28">
        <v>0.45700000000000002</v>
      </c>
    </row>
    <row r="29" spans="1:6" x14ac:dyDescent="0.35">
      <c r="A29" t="s">
        <v>192</v>
      </c>
      <c r="B29" s="26">
        <v>601628</v>
      </c>
      <c r="C29" s="26">
        <v>479366</v>
      </c>
      <c r="D29">
        <v>0.79700000000000004</v>
      </c>
      <c r="E29" s="26">
        <v>122262</v>
      </c>
      <c r="F29">
        <v>0.20300000000000001</v>
      </c>
    </row>
    <row r="30" spans="1:6" x14ac:dyDescent="0.35">
      <c r="A30" t="s">
        <v>191</v>
      </c>
      <c r="B30" s="26">
        <v>1227462</v>
      </c>
      <c r="C30" s="26">
        <v>771005</v>
      </c>
      <c r="D30">
        <v>0.628</v>
      </c>
      <c r="E30" s="26">
        <v>456457</v>
      </c>
      <c r="F30">
        <v>0.372</v>
      </c>
    </row>
    <row r="31" spans="1:6" x14ac:dyDescent="0.35">
      <c r="A31" t="s">
        <v>190</v>
      </c>
      <c r="B31" s="26">
        <v>230309</v>
      </c>
      <c r="C31" s="26">
        <v>185893</v>
      </c>
      <c r="D31">
        <v>0.80700000000000005</v>
      </c>
      <c r="E31" s="26">
        <v>44417</v>
      </c>
      <c r="F31">
        <v>0.193</v>
      </c>
    </row>
    <row r="32" spans="1:6" x14ac:dyDescent="0.35">
      <c r="A32" t="s">
        <v>189</v>
      </c>
      <c r="B32" s="26">
        <v>346150</v>
      </c>
      <c r="C32" s="26">
        <v>288127</v>
      </c>
      <c r="D32">
        <v>0.83199999999999996</v>
      </c>
      <c r="E32" s="26">
        <v>58022</v>
      </c>
      <c r="F32">
        <v>0.16800000000000001</v>
      </c>
    </row>
    <row r="33" spans="1:6" x14ac:dyDescent="0.35">
      <c r="A33" t="s">
        <v>188</v>
      </c>
      <c r="B33" s="26">
        <v>531564</v>
      </c>
      <c r="C33" s="26">
        <v>331585</v>
      </c>
      <c r="D33">
        <v>0.624</v>
      </c>
      <c r="E33" s="26">
        <v>199979</v>
      </c>
      <c r="F33">
        <v>0.376</v>
      </c>
    </row>
    <row r="34" spans="1:6" x14ac:dyDescent="0.35">
      <c r="A34" t="s">
        <v>187</v>
      </c>
      <c r="B34" s="26">
        <v>298735</v>
      </c>
      <c r="C34" s="26">
        <v>243068</v>
      </c>
      <c r="D34">
        <v>0.81399999999999995</v>
      </c>
      <c r="E34" s="26">
        <v>55666</v>
      </c>
      <c r="F34">
        <v>0.186</v>
      </c>
    </row>
    <row r="35" spans="1:6" x14ac:dyDescent="0.35">
      <c r="A35" t="s">
        <v>186</v>
      </c>
      <c r="B35" s="26">
        <v>1615169</v>
      </c>
      <c r="C35" s="26">
        <v>1133404</v>
      </c>
      <c r="D35">
        <v>0.70199999999999996</v>
      </c>
      <c r="E35" s="26">
        <v>481764</v>
      </c>
      <c r="F35">
        <v>0.29799999999999999</v>
      </c>
    </row>
    <row r="36" spans="1:6" x14ac:dyDescent="0.35">
      <c r="A36" t="s">
        <v>185</v>
      </c>
      <c r="B36" s="26">
        <v>421972</v>
      </c>
      <c r="C36" s="26">
        <v>267855</v>
      </c>
      <c r="D36">
        <v>0.63500000000000001</v>
      </c>
      <c r="E36" s="26">
        <v>154117</v>
      </c>
      <c r="F36">
        <v>0.36499999999999999</v>
      </c>
    </row>
    <row r="37" spans="1:6" x14ac:dyDescent="0.35">
      <c r="A37" t="s">
        <v>184</v>
      </c>
      <c r="B37" s="26">
        <v>3629623</v>
      </c>
      <c r="C37" s="26">
        <v>2118566</v>
      </c>
      <c r="D37">
        <v>0.58399999999999996</v>
      </c>
      <c r="E37" s="26">
        <v>1511057</v>
      </c>
      <c r="F37">
        <v>0.41599999999999998</v>
      </c>
    </row>
    <row r="38" spans="1:6" x14ac:dyDescent="0.35">
      <c r="A38" t="s">
        <v>183</v>
      </c>
      <c r="B38" s="26">
        <v>1985259</v>
      </c>
      <c r="C38" s="26">
        <v>1246728</v>
      </c>
      <c r="D38">
        <v>0.628</v>
      </c>
      <c r="E38" s="26">
        <v>738532</v>
      </c>
      <c r="F38">
        <v>0.372</v>
      </c>
    </row>
    <row r="39" spans="1:6" x14ac:dyDescent="0.35">
      <c r="A39" t="s">
        <v>182</v>
      </c>
      <c r="B39" s="26">
        <v>131045</v>
      </c>
      <c r="C39" s="26">
        <v>106842</v>
      </c>
      <c r="D39">
        <v>0.81499999999999995</v>
      </c>
      <c r="E39" s="26">
        <v>24203</v>
      </c>
      <c r="F39">
        <v>0.185</v>
      </c>
    </row>
    <row r="40" spans="1:6" x14ac:dyDescent="0.35">
      <c r="A40" t="s">
        <v>181</v>
      </c>
      <c r="B40" s="26">
        <v>2340027</v>
      </c>
      <c r="C40" s="26">
        <v>1323428</v>
      </c>
      <c r="D40">
        <v>0.56599999999999995</v>
      </c>
      <c r="E40" s="26">
        <v>1016599</v>
      </c>
      <c r="F40">
        <v>0.434</v>
      </c>
    </row>
    <row r="41" spans="1:6" x14ac:dyDescent="0.35">
      <c r="A41" t="s">
        <v>180</v>
      </c>
      <c r="B41" s="26">
        <v>738850</v>
      </c>
      <c r="C41" s="26">
        <v>577110</v>
      </c>
      <c r="D41">
        <v>0.78100000000000003</v>
      </c>
      <c r="E41" s="26">
        <v>161740</v>
      </c>
      <c r="F41">
        <v>0.219</v>
      </c>
    </row>
    <row r="42" spans="1:6" x14ac:dyDescent="0.35">
      <c r="A42" t="s">
        <v>179</v>
      </c>
      <c r="B42" s="26">
        <v>863650</v>
      </c>
      <c r="C42" s="26">
        <v>470225</v>
      </c>
      <c r="D42">
        <v>0.54500000000000004</v>
      </c>
      <c r="E42" s="26">
        <v>393425</v>
      </c>
      <c r="F42">
        <v>0.45600000000000002</v>
      </c>
    </row>
    <row r="43" spans="1:6" x14ac:dyDescent="0.35">
      <c r="A43" t="s">
        <v>178</v>
      </c>
      <c r="B43" s="26">
        <v>2732824</v>
      </c>
      <c r="C43" s="26">
        <v>1567873</v>
      </c>
      <c r="D43">
        <v>0.57399999999999995</v>
      </c>
      <c r="E43" s="26">
        <v>1164951</v>
      </c>
      <c r="F43">
        <v>0.42599999999999999</v>
      </c>
    </row>
    <row r="44" spans="1:6" x14ac:dyDescent="0.35">
      <c r="A44" t="s">
        <v>177</v>
      </c>
      <c r="B44" s="26">
        <v>220546</v>
      </c>
      <c r="C44" s="26">
        <v>120094</v>
      </c>
      <c r="D44">
        <v>0.54500000000000004</v>
      </c>
      <c r="E44" s="26">
        <v>100452</v>
      </c>
      <c r="F44">
        <v>0.45600000000000002</v>
      </c>
    </row>
    <row r="45" spans="1:6" x14ac:dyDescent="0.35">
      <c r="A45" t="s">
        <v>176</v>
      </c>
      <c r="B45" s="26">
        <v>1075124</v>
      </c>
      <c r="C45" s="26">
        <v>752453</v>
      </c>
      <c r="D45">
        <v>0.7</v>
      </c>
      <c r="E45" s="26">
        <v>322671</v>
      </c>
      <c r="F45">
        <v>0.3</v>
      </c>
    </row>
    <row r="46" spans="1:6" x14ac:dyDescent="0.35">
      <c r="A46" t="s">
        <v>175</v>
      </c>
      <c r="B46" s="26">
        <v>175579</v>
      </c>
      <c r="C46" s="26">
        <v>138162</v>
      </c>
      <c r="D46">
        <v>0.78700000000000003</v>
      </c>
      <c r="E46" s="26">
        <v>37418</v>
      </c>
      <c r="F46">
        <v>0.21299999999999999</v>
      </c>
    </row>
    <row r="47" spans="1:6" x14ac:dyDescent="0.35">
      <c r="A47" t="s">
        <v>174</v>
      </c>
      <c r="B47" s="26">
        <v>1356706</v>
      </c>
      <c r="C47" s="26">
        <v>812679</v>
      </c>
      <c r="D47">
        <v>0.59899999999999998</v>
      </c>
      <c r="E47" s="26">
        <v>544027</v>
      </c>
      <c r="F47">
        <v>0.40100000000000002</v>
      </c>
    </row>
    <row r="48" spans="1:6" x14ac:dyDescent="0.35">
      <c r="A48" t="s">
        <v>173</v>
      </c>
      <c r="B48" s="26">
        <v>4158858</v>
      </c>
      <c r="C48" s="26">
        <v>2493533</v>
      </c>
      <c r="D48">
        <v>0.6</v>
      </c>
      <c r="E48" s="26">
        <v>1665325</v>
      </c>
      <c r="F48">
        <v>0.4</v>
      </c>
    </row>
    <row r="49" spans="1:6" x14ac:dyDescent="0.35">
      <c r="A49" t="s">
        <v>172</v>
      </c>
      <c r="B49" s="26">
        <v>400958</v>
      </c>
      <c r="C49" s="26">
        <v>250920</v>
      </c>
      <c r="D49">
        <v>0.626</v>
      </c>
      <c r="E49" s="26">
        <v>150038</v>
      </c>
      <c r="F49">
        <v>0.374</v>
      </c>
    </row>
    <row r="50" spans="1:6" x14ac:dyDescent="0.35">
      <c r="A50" t="s">
        <v>171</v>
      </c>
      <c r="B50" s="26">
        <v>147222</v>
      </c>
      <c r="C50" s="26">
        <v>129424</v>
      </c>
      <c r="D50">
        <v>0.879</v>
      </c>
      <c r="E50" s="26">
        <v>17797</v>
      </c>
      <c r="F50">
        <v>0.121</v>
      </c>
    </row>
    <row r="51" spans="1:6" x14ac:dyDescent="0.35">
      <c r="A51" t="s">
        <v>170</v>
      </c>
      <c r="B51" s="26">
        <v>1509513</v>
      </c>
      <c r="C51" s="26">
        <v>1176619</v>
      </c>
      <c r="D51">
        <v>0.78</v>
      </c>
      <c r="E51" s="26">
        <v>332894</v>
      </c>
      <c r="F51">
        <v>0.221</v>
      </c>
    </row>
    <row r="52" spans="1:6" x14ac:dyDescent="0.35">
      <c r="A52" t="s">
        <v>169</v>
      </c>
      <c r="B52" s="26">
        <v>1362048</v>
      </c>
      <c r="C52" s="26">
        <v>898555</v>
      </c>
      <c r="D52">
        <v>0.66</v>
      </c>
      <c r="E52" s="26">
        <v>463493</v>
      </c>
      <c r="F52">
        <v>0.34</v>
      </c>
    </row>
    <row r="53" spans="1:6" x14ac:dyDescent="0.35">
      <c r="A53" t="s">
        <v>168</v>
      </c>
      <c r="B53" s="26">
        <v>438643</v>
      </c>
      <c r="C53" s="26">
        <v>289839</v>
      </c>
      <c r="D53">
        <v>0.66100000000000003</v>
      </c>
      <c r="E53" s="26">
        <v>148804</v>
      </c>
      <c r="F53">
        <v>0.33900000000000002</v>
      </c>
    </row>
    <row r="54" spans="1:6" x14ac:dyDescent="0.35">
      <c r="A54" t="s">
        <v>167</v>
      </c>
      <c r="B54" s="26">
        <v>1171957</v>
      </c>
      <c r="C54" s="26">
        <v>661504</v>
      </c>
      <c r="D54">
        <v>0.56399999999999995</v>
      </c>
      <c r="E54" s="26">
        <v>510453</v>
      </c>
      <c r="F54">
        <v>0.436</v>
      </c>
    </row>
    <row r="55" spans="1:6" x14ac:dyDescent="0.35">
      <c r="A55" t="s">
        <v>166</v>
      </c>
      <c r="B55" s="26">
        <v>109989</v>
      </c>
      <c r="C55" s="26">
        <v>105045</v>
      </c>
      <c r="D55">
        <v>0.95499999999999996</v>
      </c>
      <c r="E55" s="26">
        <v>4944</v>
      </c>
      <c r="F55">
        <v>4.4999999999999998E-2</v>
      </c>
    </row>
    <row r="57" spans="1:6" x14ac:dyDescent="0.35">
      <c r="A57" t="s">
        <v>165</v>
      </c>
    </row>
    <row r="58" spans="1:6" x14ac:dyDescent="0.35">
      <c r="A58" t="s">
        <v>164</v>
      </c>
    </row>
    <row r="60" spans="1:6" x14ac:dyDescent="0.35">
      <c r="A60" t="s">
        <v>163</v>
      </c>
    </row>
    <row r="61" spans="1:6" x14ac:dyDescent="0.35">
      <c r="A61" t="s">
        <v>162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BB45-AB24-4805-A097-53009C6C0E51}">
  <sheetPr>
    <tabColor theme="9" tint="0.79998168889431442"/>
  </sheetPr>
  <dimension ref="A1:M18"/>
  <sheetViews>
    <sheetView workbookViewId="0">
      <selection sqref="A1:XFD1048576"/>
    </sheetView>
  </sheetViews>
  <sheetFormatPr defaultRowHeight="14.5" x14ac:dyDescent="0.35"/>
  <cols>
    <col min="1" max="1" width="22.1796875" customWidth="1"/>
    <col min="2" max="7" width="14.36328125" customWidth="1"/>
    <col min="8" max="8" width="15.453125" customWidth="1"/>
    <col min="9" max="11" width="14.36328125" customWidth="1"/>
    <col min="12" max="12" width="12.08984375" customWidth="1"/>
    <col min="13" max="13" width="13.36328125" customWidth="1"/>
  </cols>
  <sheetData>
    <row r="1" spans="1:13" ht="29" x14ac:dyDescent="0.35">
      <c r="A1" s="22" t="s">
        <v>13</v>
      </c>
      <c r="B1" s="22">
        <v>2015</v>
      </c>
      <c r="C1" s="22">
        <v>2016</v>
      </c>
      <c r="D1" s="22">
        <v>2017</v>
      </c>
      <c r="E1" s="22">
        <v>2018</v>
      </c>
      <c r="F1" s="22">
        <v>2019</v>
      </c>
      <c r="G1" s="22">
        <v>2020</v>
      </c>
      <c r="H1" s="56" t="s">
        <v>277</v>
      </c>
      <c r="I1">
        <v>2030</v>
      </c>
    </row>
    <row r="2" spans="1:13" x14ac:dyDescent="0.35">
      <c r="A2" s="22" t="s">
        <v>14</v>
      </c>
      <c r="B2" s="23">
        <v>37386681</v>
      </c>
      <c r="C2" s="23">
        <v>37957803</v>
      </c>
      <c r="D2" s="23">
        <v>38001790</v>
      </c>
      <c r="E2" s="23">
        <v>37994241</v>
      </c>
      <c r="F2" s="23">
        <v>37898471</v>
      </c>
      <c r="G2" s="23">
        <v>37094414</v>
      </c>
      <c r="H2" s="113">
        <f>(G2/B2)-1</f>
        <v>-7.8174096277762173E-3</v>
      </c>
    </row>
    <row r="3" spans="1:13" x14ac:dyDescent="0.35">
      <c r="A3" s="22" t="s">
        <v>15</v>
      </c>
      <c r="B3" s="23">
        <v>16909972</v>
      </c>
      <c r="C3" s="23">
        <v>17800329</v>
      </c>
      <c r="D3" s="23">
        <v>19221975</v>
      </c>
      <c r="E3" s="23">
        <v>20747602</v>
      </c>
      <c r="F3" s="23">
        <v>22344144</v>
      </c>
      <c r="G3" s="23">
        <v>24457533</v>
      </c>
      <c r="H3" s="113">
        <f>(G3/B3)-1</f>
        <v>0.44633787684568604</v>
      </c>
    </row>
    <row r="4" spans="1:13" x14ac:dyDescent="0.35">
      <c r="A4" t="s">
        <v>16</v>
      </c>
    </row>
    <row r="6" spans="1:13" x14ac:dyDescent="0.35">
      <c r="A6" t="s">
        <v>17</v>
      </c>
      <c r="B6" s="22">
        <v>2015</v>
      </c>
      <c r="C6" s="22">
        <v>2016</v>
      </c>
      <c r="D6" s="22">
        <v>2017</v>
      </c>
      <c r="E6" s="22">
        <v>2018</v>
      </c>
      <c r="F6" s="22">
        <v>2019</v>
      </c>
      <c r="G6" s="22">
        <v>2020</v>
      </c>
      <c r="H6" s="22">
        <v>2021</v>
      </c>
      <c r="I6" s="22">
        <v>2025</v>
      </c>
      <c r="J6" s="22"/>
      <c r="K6" s="22">
        <v>2030</v>
      </c>
    </row>
    <row r="7" spans="1:13" x14ac:dyDescent="0.35">
      <c r="A7" t="s">
        <v>19</v>
      </c>
      <c r="B7">
        <f>($C7-$G7)/($G6-$C6)+C7</f>
        <v>84.524999999999991</v>
      </c>
      <c r="C7">
        <v>84.3</v>
      </c>
      <c r="D7">
        <f>($C7-$G7)/($G6-$C6)+E7</f>
        <v>84.074999999999989</v>
      </c>
      <c r="E7">
        <f>($C7-$G7)/($G6-$C6)+F7</f>
        <v>83.85</v>
      </c>
      <c r="F7">
        <f>($C7-$G7)/($G6-$C6)+G7</f>
        <v>83.625</v>
      </c>
      <c r="G7">
        <v>83.4</v>
      </c>
      <c r="I7">
        <f>(G7+K7)/2</f>
        <v>82.35</v>
      </c>
      <c r="K7">
        <v>81.3</v>
      </c>
    </row>
    <row r="8" spans="1:13" x14ac:dyDescent="0.35">
      <c r="A8" t="s">
        <v>20</v>
      </c>
      <c r="B8">
        <f t="shared" ref="B8:G8" si="0">B7/$F7</f>
        <v>1.010762331838565</v>
      </c>
      <c r="C8">
        <f t="shared" si="0"/>
        <v>1.0080717488789237</v>
      </c>
      <c r="D8">
        <f t="shared" si="0"/>
        <v>1.0053811659192824</v>
      </c>
      <c r="E8">
        <f t="shared" si="0"/>
        <v>1.0026905829596411</v>
      </c>
      <c r="F8">
        <f t="shared" si="0"/>
        <v>1</v>
      </c>
      <c r="G8">
        <f t="shared" si="0"/>
        <v>0.9973094170403588</v>
      </c>
      <c r="I8">
        <f>I7/$F7</f>
        <v>0.98475336322869944</v>
      </c>
      <c r="K8">
        <f>K7/$F7</f>
        <v>0.9721973094170403</v>
      </c>
    </row>
    <row r="9" spans="1:13" x14ac:dyDescent="0.35">
      <c r="A9" t="s">
        <v>18</v>
      </c>
    </row>
    <row r="12" spans="1:13" x14ac:dyDescent="0.35">
      <c r="B12" t="s">
        <v>278</v>
      </c>
      <c r="C12" t="s">
        <v>281</v>
      </c>
    </row>
    <row r="13" spans="1:13" x14ac:dyDescent="0.35">
      <c r="A13" t="s">
        <v>279</v>
      </c>
      <c r="B13">
        <f>F2/B2-1</f>
        <v>1.3689099602074872E-2</v>
      </c>
      <c r="C13">
        <f>'Live Output Fx'!H15/'Live Output Fx'!D15-1</f>
        <v>4.5811740623691311E-2</v>
      </c>
    </row>
    <row r="14" spans="1:13" x14ac:dyDescent="0.35">
      <c r="A14" t="s">
        <v>280</v>
      </c>
      <c r="B14">
        <f>F3/B3-1</f>
        <v>0.32135901821717971</v>
      </c>
    </row>
    <row r="15" spans="1:13" x14ac:dyDescent="0.35">
      <c r="A15" t="s">
        <v>56</v>
      </c>
      <c r="B15">
        <f>F16/B16-1</f>
        <v>0.10950881263344159</v>
      </c>
      <c r="G15">
        <v>2020</v>
      </c>
      <c r="H15">
        <v>2021</v>
      </c>
      <c r="I15">
        <v>2022</v>
      </c>
      <c r="J15">
        <v>2023</v>
      </c>
      <c r="K15">
        <v>2024</v>
      </c>
      <c r="L15">
        <v>2025</v>
      </c>
      <c r="M15">
        <v>2030</v>
      </c>
    </row>
    <row r="16" spans="1:13" x14ac:dyDescent="0.35">
      <c r="A16" t="s">
        <v>56</v>
      </c>
      <c r="B16" s="26">
        <f>B2+B3</f>
        <v>54296653</v>
      </c>
      <c r="C16" s="26">
        <f>C2+C3</f>
        <v>55758132</v>
      </c>
      <c r="D16" s="26">
        <f>D2+D3</f>
        <v>57223765</v>
      </c>
      <c r="E16" s="26">
        <f>E2+E3</f>
        <v>58741843</v>
      </c>
      <c r="F16" s="26">
        <f>F2+F3</f>
        <v>60242615</v>
      </c>
      <c r="G16" s="26">
        <f>((F16/B16)^(1/4))*F16</f>
        <v>61828185.948948592</v>
      </c>
      <c r="H16" s="26">
        <f>((G16/C16)^(1/4))*G16</f>
        <v>63446267.302084215</v>
      </c>
      <c r="I16" s="26">
        <f>((H16/D16)^(1/4))*H16</f>
        <v>65104871.881067865</v>
      </c>
      <c r="J16" s="26">
        <f>((I16/E16)^(1/4))*I16</f>
        <v>66800539.303356044</v>
      </c>
      <c r="K16" s="26">
        <f>((J16/F16)^(1/4))*J16</f>
        <v>68548665.914996132</v>
      </c>
      <c r="L16" s="26">
        <f>($G16/$B16)*G16</f>
        <v>70404423.965833843</v>
      </c>
      <c r="M16" s="26">
        <f>($G16/$B16)*L16</f>
        <v>80170278.941285536</v>
      </c>
    </row>
    <row r="17" spans="1:13" x14ac:dyDescent="0.35">
      <c r="A17" t="s">
        <v>282</v>
      </c>
      <c r="B17">
        <f>'Live Output Fx'!D15/'Public source data (L)'!B2</f>
        <v>0.48166796325140493</v>
      </c>
      <c r="C17">
        <f>'Live Output Fx'!E15/'Public source data (L)'!C2</f>
        <v>0.48465595308558829</v>
      </c>
      <c r="D17">
        <f>'Live Output Fx'!F15/'Public source data (L)'!D2</f>
        <v>0.48273054295600282</v>
      </c>
      <c r="E17">
        <f>'Live Output Fx'!G15/'Public source data (L)'!E2</f>
        <v>0.4862332091329315</v>
      </c>
      <c r="F17">
        <f>'Live Output Fx'!H15/'Public source data (L)'!F2</f>
        <v>0.49693146670745636</v>
      </c>
      <c r="G17">
        <f>((F17/B17)^(1/4))*F17</f>
        <v>0.50082232745229516</v>
      </c>
      <c r="L17">
        <f>($G17/$B17)*G17</f>
        <v>0.52073839825593249</v>
      </c>
      <c r="M17">
        <f>($G17/$B17)*L17</f>
        <v>0.54144646625001713</v>
      </c>
    </row>
    <row r="18" spans="1:13" x14ac:dyDescent="0.35">
      <c r="B18" s="26">
        <f t="shared" ref="B18:G18" si="1">B16*B17</f>
        <v>26152958.261878286</v>
      </c>
      <c r="C18" s="26">
        <f t="shared" si="1"/>
        <v>27023510.606732041</v>
      </c>
      <c r="D18" s="26">
        <f t="shared" si="1"/>
        <v>27623659.14843671</v>
      </c>
      <c r="E18" s="26">
        <f t="shared" si="1"/>
        <v>28562234.832272828</v>
      </c>
      <c r="F18" s="26">
        <f t="shared" si="1"/>
        <v>29936451.030242611</v>
      </c>
      <c r="G18" s="26">
        <f t="shared" si="1"/>
        <v>30964935.989105728</v>
      </c>
      <c r="H18" s="26"/>
      <c r="I18" s="26"/>
      <c r="L18" s="26">
        <f>L16*L17</f>
        <v>36662286.966099903</v>
      </c>
      <c r="M18" s="26">
        <f>M16*M17</f>
        <v>43407914.231037214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BD80-0DA7-4913-9A49-3B770C58E15B}">
  <sheetPr>
    <tabColor theme="4" tint="0.39997558519241921"/>
  </sheetPr>
  <dimension ref="A1:BF96"/>
  <sheetViews>
    <sheetView showGridLines="0" workbookViewId="0">
      <pane xSplit="1" ySplit="1" topLeftCell="B2" activePane="bottomRight" state="frozen"/>
      <selection activeCell="D3" sqref="D3"/>
      <selection pane="topRight" activeCell="D3" sqref="D3"/>
      <selection pane="bottomLeft" activeCell="D3" sqref="D3"/>
      <selection pane="bottomRight" sqref="A1:XFD1048576"/>
    </sheetView>
  </sheetViews>
  <sheetFormatPr defaultRowHeight="14.5" outlineLevelCol="1" x14ac:dyDescent="0.35"/>
  <cols>
    <col min="1" max="2" width="1.54296875" customWidth="1"/>
    <col min="3" max="3" width="34.1796875" customWidth="1"/>
    <col min="4" max="4" width="21.36328125" customWidth="1"/>
    <col min="5" max="5" width="11.453125" customWidth="1"/>
    <col min="6" max="6" width="12.08984375" customWidth="1"/>
    <col min="7" max="7" width="11.6328125" customWidth="1"/>
    <col min="8" max="8" width="11.36328125" customWidth="1"/>
    <col min="9" max="9" width="8.90625" bestFit="1" customWidth="1"/>
    <col min="10" max="10" width="8.7265625" bestFit="1" customWidth="1"/>
    <col min="11" max="11" width="11.54296875" customWidth="1"/>
    <col min="12" max="12" width="11.81640625" customWidth="1"/>
    <col min="13" max="13" width="11.90625" customWidth="1"/>
    <col min="14" max="14" width="1.6328125" customWidth="1"/>
    <col min="15" max="40" width="1.6328125" customWidth="1" outlineLevel="1"/>
    <col min="41" max="41" width="39.54296875" customWidth="1"/>
    <col min="42" max="42" width="9.81640625" bestFit="1" customWidth="1"/>
    <col min="43" max="43" width="9.6328125" bestFit="1" customWidth="1"/>
    <col min="44" max="44" width="9.54296875" bestFit="1" customWidth="1"/>
    <col min="45" max="45" width="9.6328125" bestFit="1" customWidth="1"/>
    <col min="46" max="46" width="9.7265625" bestFit="1" customWidth="1"/>
    <col min="47" max="47" width="12.26953125" bestFit="1" customWidth="1"/>
    <col min="48" max="48" width="12.1796875" bestFit="1" customWidth="1"/>
    <col min="49" max="49" width="12.08984375" bestFit="1" customWidth="1"/>
    <col min="50" max="50" width="12.54296875" bestFit="1" customWidth="1"/>
    <col min="51" max="51" width="9.54296875" bestFit="1" customWidth="1"/>
    <col min="52" max="54" width="10.26953125" bestFit="1" customWidth="1"/>
    <col min="55" max="55" width="10.36328125" bestFit="1" customWidth="1"/>
    <col min="56" max="57" width="10.1796875" bestFit="1" customWidth="1"/>
  </cols>
  <sheetData>
    <row r="1" spans="1:41" x14ac:dyDescent="0.3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</row>
    <row r="2" spans="1:41" x14ac:dyDescent="0.3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</row>
    <row r="3" spans="1:41" ht="15.5" x14ac:dyDescent="0.35">
      <c r="C3" s="173" t="s">
        <v>69</v>
      </c>
      <c r="D3" s="173"/>
      <c r="E3" s="173"/>
      <c r="F3" s="173"/>
      <c r="G3" s="173"/>
      <c r="H3" s="46">
        <v>10000</v>
      </c>
    </row>
    <row r="4" spans="1:41" x14ac:dyDescent="0.35">
      <c r="H4" s="71"/>
    </row>
    <row r="5" spans="1:41" x14ac:dyDescent="0.35">
      <c r="I5" s="164"/>
    </row>
    <row r="6" spans="1:41" ht="15.5" x14ac:dyDescent="0.35">
      <c r="C6" s="41"/>
    </row>
    <row r="7" spans="1:41" ht="23.5" x14ac:dyDescent="0.55000000000000004">
      <c r="C7" s="42" t="s">
        <v>34</v>
      </c>
      <c r="D7" s="34" t="str">
        <f>D8</f>
        <v>Trend accelerates to RVUs to second highest region (in 2030 average becomes equal to 2019 second highest region)</v>
      </c>
      <c r="E7" s="34" t="str">
        <f>D9</f>
        <v>Risk for exit by 2025 and by 2030 same as by 2020 (risk by years since anchor date, all in 5 year increments)</v>
      </c>
    </row>
    <row r="8" spans="1:41" ht="29.5" customHeight="1" x14ac:dyDescent="0.35">
      <c r="C8" s="52" t="s">
        <v>65</v>
      </c>
      <c r="D8" s="190" t="s">
        <v>62</v>
      </c>
      <c r="E8" s="190"/>
      <c r="F8" s="190"/>
      <c r="G8" s="190"/>
      <c r="H8" s="190"/>
    </row>
    <row r="9" spans="1:41" ht="31" customHeight="1" x14ac:dyDescent="0.35">
      <c r="C9" s="52" t="s">
        <v>109</v>
      </c>
      <c r="D9" s="190" t="s">
        <v>72</v>
      </c>
      <c r="E9" s="190"/>
      <c r="F9" s="190"/>
      <c r="G9" s="190"/>
      <c r="H9" s="190"/>
    </row>
    <row r="10" spans="1:41" x14ac:dyDescent="0.35">
      <c r="D10" s="124" t="s">
        <v>71</v>
      </c>
    </row>
    <row r="11" spans="1:41" ht="23.5" x14ac:dyDescent="0.55000000000000004">
      <c r="C11" s="42" t="s">
        <v>66</v>
      </c>
      <c r="D11" s="34"/>
    </row>
    <row r="12" spans="1:41" ht="15.5" x14ac:dyDescent="0.35">
      <c r="C12" s="52" t="s">
        <v>244</v>
      </c>
      <c r="D12" s="190" t="s">
        <v>115</v>
      </c>
      <c r="E12" s="190"/>
      <c r="F12" s="190"/>
      <c r="G12" s="190"/>
      <c r="H12" s="190"/>
    </row>
    <row r="13" spans="1:41" ht="15.5" x14ac:dyDescent="0.35">
      <c r="C13" s="52" t="s">
        <v>112</v>
      </c>
      <c r="D13" s="190" t="s">
        <v>115</v>
      </c>
      <c r="E13" s="190"/>
      <c r="F13" s="190"/>
      <c r="G13" s="190"/>
      <c r="H13" s="190"/>
    </row>
    <row r="14" spans="1:41" ht="15.5" x14ac:dyDescent="0.35">
      <c r="C14" s="52" t="s">
        <v>113</v>
      </c>
      <c r="D14" s="190" t="s">
        <v>115</v>
      </c>
      <c r="E14" s="190"/>
      <c r="F14" s="190"/>
      <c r="G14" s="190"/>
      <c r="H14" s="190"/>
    </row>
    <row r="15" spans="1:41" ht="15.5" x14ac:dyDescent="0.35">
      <c r="C15" s="52" t="s">
        <v>117</v>
      </c>
      <c r="D15" s="190" t="s">
        <v>115</v>
      </c>
      <c r="E15" s="190"/>
      <c r="F15" s="190"/>
      <c r="G15" s="190"/>
      <c r="H15" s="190"/>
    </row>
    <row r="16" spans="1:41" ht="26" customHeight="1" x14ac:dyDescent="0.35">
      <c r="C16" s="52" t="s">
        <v>110</v>
      </c>
      <c r="D16" s="190" t="s">
        <v>261</v>
      </c>
      <c r="E16" s="190"/>
      <c r="F16" s="190"/>
      <c r="G16" s="190"/>
      <c r="H16" s="190"/>
    </row>
    <row r="17" spans="3:8" ht="15.5" customHeight="1" x14ac:dyDescent="0.35">
      <c r="C17" s="52" t="s">
        <v>266</v>
      </c>
      <c r="D17" s="190" t="s">
        <v>300</v>
      </c>
      <c r="E17" s="190"/>
      <c r="F17" s="190"/>
      <c r="G17" s="190"/>
      <c r="H17" s="190"/>
    </row>
    <row r="18" spans="3:8" ht="15.5" customHeight="1" x14ac:dyDescent="0.35">
      <c r="C18" s="52" t="s">
        <v>267</v>
      </c>
      <c r="D18" s="174" t="s">
        <v>274</v>
      </c>
      <c r="E18" s="175"/>
      <c r="F18" s="175"/>
      <c r="G18" s="175"/>
      <c r="H18" s="176"/>
    </row>
    <row r="19" spans="3:8" ht="25.5" customHeight="1" x14ac:dyDescent="0.35">
      <c r="C19" s="52" t="s">
        <v>111</v>
      </c>
      <c r="D19" s="190" t="s">
        <v>156</v>
      </c>
      <c r="E19" s="190"/>
      <c r="F19" s="190"/>
      <c r="G19" s="190"/>
      <c r="H19" s="190"/>
    </row>
    <row r="47" spans="2:58" ht="8.5" customHeight="1" x14ac:dyDescent="0.35"/>
    <row r="48" spans="2:58" ht="10.5" customHeight="1" x14ac:dyDescent="0.3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2:58" ht="26" x14ac:dyDescent="0.35">
      <c r="B49" s="6"/>
      <c r="C49" s="167" t="s">
        <v>41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6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</row>
    <row r="50" spans="2:58" ht="16" customHeight="1" x14ac:dyDescent="0.6">
      <c r="B50" s="6"/>
      <c r="C50" s="5"/>
      <c r="D50" s="169" t="s">
        <v>9</v>
      </c>
      <c r="E50" s="170"/>
      <c r="F50" s="171"/>
      <c r="G50" s="171"/>
      <c r="H50" s="171"/>
      <c r="I50" s="171"/>
      <c r="J50" s="5"/>
      <c r="K50" s="169" t="s">
        <v>288</v>
      </c>
      <c r="L50" s="169"/>
      <c r="M50" s="170"/>
      <c r="N50" s="6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2:58" x14ac:dyDescent="0.35">
      <c r="B51" s="6"/>
      <c r="C51" s="2"/>
      <c r="D51" s="3">
        <v>2015</v>
      </c>
      <c r="E51" s="3">
        <v>2016</v>
      </c>
      <c r="F51" s="3">
        <v>2017</v>
      </c>
      <c r="G51" s="3">
        <v>2018</v>
      </c>
      <c r="H51" s="3">
        <v>2019</v>
      </c>
      <c r="I51" s="3">
        <v>2020</v>
      </c>
      <c r="J51" s="3"/>
      <c r="K51" s="3">
        <v>2025</v>
      </c>
      <c r="L51" s="3"/>
      <c r="M51" s="3">
        <v>2030</v>
      </c>
      <c r="N51" s="6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35"/>
      <c r="AP51" s="125">
        <v>2015</v>
      </c>
      <c r="AQ51" s="125">
        <v>2016</v>
      </c>
      <c r="AR51" s="125">
        <v>2017</v>
      </c>
      <c r="AS51" s="125">
        <v>2018</v>
      </c>
      <c r="AT51" s="125">
        <v>2019</v>
      </c>
      <c r="AU51" s="125">
        <v>2020</v>
      </c>
      <c r="AV51" s="125">
        <v>2021</v>
      </c>
      <c r="AW51" s="125">
        <v>2022</v>
      </c>
      <c r="AX51" s="125">
        <v>2023</v>
      </c>
      <c r="AY51" s="125">
        <v>2024</v>
      </c>
      <c r="AZ51" s="125">
        <v>2025</v>
      </c>
      <c r="BA51" s="125">
        <v>2026</v>
      </c>
      <c r="BB51" s="125">
        <v>2027</v>
      </c>
      <c r="BC51" s="125">
        <v>2028</v>
      </c>
      <c r="BD51" s="125">
        <v>2029</v>
      </c>
      <c r="BE51" s="125">
        <v>2030</v>
      </c>
      <c r="BF51" s="35"/>
    </row>
    <row r="52" spans="2:58" ht="18" customHeight="1" x14ac:dyDescent="0.35">
      <c r="B52" s="6"/>
      <c r="C52" s="7" t="s">
        <v>0</v>
      </c>
      <c r="D52" s="19">
        <f>'Base Output Fx'!D6</f>
        <v>4424</v>
      </c>
      <c r="E52" s="19">
        <f>'Base Output Fx'!E6</f>
        <v>4503</v>
      </c>
      <c r="F52" s="19">
        <f>'Base Output Fx'!F6</f>
        <v>4608</v>
      </c>
      <c r="G52" s="19">
        <f>'Base Output Fx'!G6</f>
        <v>4649</v>
      </c>
      <c r="H52" s="19">
        <f>'Base Output Fx'!H6</f>
        <v>4691</v>
      </c>
      <c r="I52" s="19">
        <f>'Base Output Fx'!I6</f>
        <v>4718</v>
      </c>
      <c r="J52" s="9"/>
      <c r="K52" s="19">
        <f>'Base Output Fx'!K6</f>
        <v>4909</v>
      </c>
      <c r="L52" s="9"/>
      <c r="M52" s="19">
        <f>'Base Output Fx'!M6</f>
        <v>5057</v>
      </c>
      <c r="N52" s="6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126" t="s">
        <v>67</v>
      </c>
      <c r="AP52" s="127">
        <f>'Base Output Fx'!Q6</f>
        <v>4330.9182679183859</v>
      </c>
      <c r="AQ52" s="127">
        <f>'Base Output Fx'!R6</f>
        <v>4413.406563688789</v>
      </c>
      <c r="AR52" s="127">
        <f>'Base Output Fx'!S6</f>
        <v>4468.854542459193</v>
      </c>
      <c r="AS52" s="127">
        <f>'Base Output Fx'!T6</f>
        <v>4558.1452692295961</v>
      </c>
      <c r="AT52" s="127">
        <f>'Base Output Fx'!U6</f>
        <v>4691</v>
      </c>
      <c r="AU52" s="127">
        <f>'Base Output Fx'!V6</f>
        <v>4785.4744732228974</v>
      </c>
      <c r="AV52" s="127">
        <f>'Base Output Fx'!W6</f>
        <v>4892.5930094576906</v>
      </c>
      <c r="AW52" s="127">
        <f>'Base Output Fx'!X6</f>
        <v>5002.1092976540258</v>
      </c>
      <c r="AX52" s="127">
        <f>'Base Output Fx'!Y6</f>
        <v>5114.0770093301244</v>
      </c>
      <c r="AY52" s="127">
        <f>'Base Output Fx'!Z6</f>
        <v>5228.5510173928014</v>
      </c>
      <c r="AZ52" s="127">
        <f>'Base Output Fx'!AA6</f>
        <v>5345.5874230294758</v>
      </c>
      <c r="BA52" s="127">
        <f>'Base Output Fx'!AB6</f>
        <v>5454.3435380436631</v>
      </c>
      <c r="BB52" s="127">
        <f>'Base Output Fx'!AC6</f>
        <v>5565.3122990435868</v>
      </c>
      <c r="BC52" s="127">
        <f>'Base Output Fx'!AD6</f>
        <v>5678.5387223693206</v>
      </c>
      <c r="BD52" s="127">
        <f>'Base Output Fx'!AE6</f>
        <v>5794.0687402195408</v>
      </c>
      <c r="BE52" s="127">
        <f>'Base Output Fx'!AF6</f>
        <v>5911.9492192847019</v>
      </c>
      <c r="BF52" s="35"/>
    </row>
    <row r="53" spans="2:58" ht="18" customHeight="1" x14ac:dyDescent="0.35">
      <c r="B53" s="6"/>
      <c r="C53" s="7" t="s">
        <v>1</v>
      </c>
      <c r="D53" s="19">
        <f>'Base Output Fx'!D7</f>
        <v>251</v>
      </c>
      <c r="E53" s="19">
        <f>'Base Output Fx'!E7</f>
        <v>226</v>
      </c>
      <c r="F53" s="19">
        <f>'Base Output Fx'!F7</f>
        <v>214</v>
      </c>
      <c r="G53" s="19">
        <f>'Base Output Fx'!G7</f>
        <v>191</v>
      </c>
      <c r="H53" s="19">
        <f>'Base Output Fx'!H7</f>
        <v>196</v>
      </c>
      <c r="I53" s="19">
        <f>'Base Output Fx'!I7</f>
        <v>223</v>
      </c>
      <c r="J53" s="9" t="s">
        <v>38</v>
      </c>
      <c r="K53" s="19">
        <f>'Base Output Fx'!K7</f>
        <v>983</v>
      </c>
      <c r="L53" s="9" t="s">
        <v>39</v>
      </c>
      <c r="M53" s="19">
        <f>'Base Output Fx'!M7</f>
        <v>945</v>
      </c>
      <c r="N53" s="6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126" t="s">
        <v>40</v>
      </c>
      <c r="AP53" s="127">
        <f>'Base Output Fx'!Q7</f>
        <v>4330.9182679183859</v>
      </c>
      <c r="AQ53" s="127">
        <f>'Base Output Fx'!R7</f>
        <v>4413.406563688789</v>
      </c>
      <c r="AR53" s="127">
        <f>'Base Output Fx'!S7</f>
        <v>4468.854542459193</v>
      </c>
      <c r="AS53" s="127">
        <f>'Base Output Fx'!T7</f>
        <v>4558.1452692295961</v>
      </c>
      <c r="AT53" s="127">
        <f>'Base Output Fx'!U7</f>
        <v>4691</v>
      </c>
      <c r="AU53" s="127">
        <f>'Base Output Fx'!V7</f>
        <v>4779.3191659090071</v>
      </c>
      <c r="AV53" s="127">
        <f>'Base Output Fx'!W7</f>
        <v>4862.7064482811002</v>
      </c>
      <c r="AW53" s="127">
        <f>'Base Output Fx'!X7</f>
        <v>4953.3832860733728</v>
      </c>
      <c r="AX53" s="127">
        <f>'Base Output Fx'!Y7</f>
        <v>5051.8954034315229</v>
      </c>
      <c r="AY53" s="127">
        <f>'Base Output Fx'!Z7</f>
        <v>5158.8305170550902</v>
      </c>
      <c r="AZ53" s="127">
        <f>'Base Output Fx'!AA7</f>
        <v>5274.8215676706022</v>
      </c>
      <c r="BA53" s="127">
        <f>'Base Output Fx'!AB7</f>
        <v>5406.7134705544868</v>
      </c>
      <c r="BB53" s="127">
        <f>'Base Output Fx'!AC7</f>
        <v>5549.597830533512</v>
      </c>
      <c r="BC53" s="127">
        <f>'Base Output Fx'!AD7</f>
        <v>5704.3202580631132</v>
      </c>
      <c r="BD53" s="127">
        <f>'Base Output Fx'!AE7</f>
        <v>5871.7928437792471</v>
      </c>
      <c r="BE53" s="127">
        <f>'Base Output Fx'!AF7</f>
        <v>6052.9993889029383</v>
      </c>
      <c r="BF53" s="35"/>
    </row>
    <row r="54" spans="2:58" ht="18" customHeight="1" x14ac:dyDescent="0.35">
      <c r="B54" s="6"/>
      <c r="C54" s="7" t="s">
        <v>2</v>
      </c>
      <c r="D54" s="19">
        <f>'Base Output Fx'!D8</f>
        <v>147</v>
      </c>
      <c r="E54" s="19">
        <f>'Base Output Fx'!E8</f>
        <v>109</v>
      </c>
      <c r="F54" s="19">
        <f>'Base Output Fx'!F8</f>
        <v>150</v>
      </c>
      <c r="G54" s="19">
        <f>'Base Output Fx'!G8</f>
        <v>154</v>
      </c>
      <c r="H54" s="19">
        <f>'Base Output Fx'!H8</f>
        <v>196</v>
      </c>
      <c r="I54" s="19" t="str">
        <f>'Base Output Fx'!I8</f>
        <v>(n/a, all)</v>
      </c>
      <c r="J54" s="9" t="s">
        <v>21</v>
      </c>
      <c r="K54" s="19">
        <f>'Base Output Fx'!K8</f>
        <v>792</v>
      </c>
      <c r="L54" s="9" t="s">
        <v>22</v>
      </c>
      <c r="M54" s="19">
        <f>'Base Output Fx'!M8</f>
        <v>797</v>
      </c>
      <c r="N54" s="6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126" t="s">
        <v>25</v>
      </c>
      <c r="AP54" s="127">
        <f>'Base Output Fx'!Q8</f>
        <v>1800.7966489999999</v>
      </c>
      <c r="AQ54" s="127">
        <f>'Base Output Fx'!R8</f>
        <v>1839.6475190000001</v>
      </c>
      <c r="AR54" s="127">
        <f>'Base Output Fx'!S8</f>
        <v>1834.4624719999999</v>
      </c>
      <c r="AS54" s="127">
        <f>'Base Output Fx'!T8</f>
        <v>1847.4061730000001</v>
      </c>
      <c r="AT54" s="127">
        <f>'Base Output Fx'!U8</f>
        <v>1883.2942780000001</v>
      </c>
      <c r="AU54" s="127">
        <f>'Base Output Fx'!V8</f>
        <v>1898.2112899892643</v>
      </c>
      <c r="AV54" s="127">
        <f>'Base Output Fx'!W8</f>
        <v>1908.6483458556174</v>
      </c>
      <c r="AW54" s="127">
        <f>'Base Output Fx'!X8</f>
        <v>1919.3223492909967</v>
      </c>
      <c r="AX54" s="127">
        <f>'Base Output Fx'!Y8</f>
        <v>1930.2469996037726</v>
      </c>
      <c r="AY54" s="127">
        <f>'Base Output Fx'!Z8</f>
        <v>1941.4357643457815</v>
      </c>
      <c r="AZ54" s="127">
        <f>'Base Output Fx'!AA8</f>
        <v>1952.9017464138828</v>
      </c>
      <c r="BA54" s="127">
        <f>'Base Output Fx'!AB8</f>
        <v>1967.8315709693502</v>
      </c>
      <c r="BB54" s="127">
        <f>'Base Output Fx'!AC8</f>
        <v>1983.1162118669401</v>
      </c>
      <c r="BC54" s="127">
        <f>'Base Output Fx'!AD8</f>
        <v>1998.7681957843886</v>
      </c>
      <c r="BD54" s="127">
        <f>'Base Output Fx'!AE8</f>
        <v>2014.7991307008524</v>
      </c>
      <c r="BE54" s="127">
        <f>'Base Output Fx'!AF8</f>
        <v>2031.2195766001705</v>
      </c>
      <c r="BF54" s="35"/>
    </row>
    <row r="55" spans="2:58" x14ac:dyDescent="0.35">
      <c r="B55" s="6"/>
      <c r="C55" s="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6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126" t="s">
        <v>26</v>
      </c>
      <c r="AP55" s="127">
        <f>'Base Output Fx'!Q9</f>
        <v>814.49919999999997</v>
      </c>
      <c r="AQ55" s="127">
        <f>'Base Output Fx'!R9</f>
        <v>862.70349999999996</v>
      </c>
      <c r="AR55" s="127">
        <f>'Base Output Fx'!S9</f>
        <v>927.90340000000003</v>
      </c>
      <c r="AS55" s="127">
        <f>'Base Output Fx'!T9</f>
        <v>1008.8173</v>
      </c>
      <c r="AT55" s="127">
        <f>'Base Output Fx'!U9</f>
        <v>1110.3507999999999</v>
      </c>
      <c r="AU55" s="127">
        <f>'Base Output Fx'!V9</f>
        <v>1195.8193695096302</v>
      </c>
      <c r="AV55" s="127">
        <f>'Base Output Fx'!W9</f>
        <v>1284.7716964357874</v>
      </c>
      <c r="AW55" s="127">
        <f>'Base Output Fx'!X9</f>
        <v>1380.4699880252401</v>
      </c>
      <c r="AX55" s="127">
        <f>'Base Output Fx'!Y9</f>
        <v>1483.4432734666857</v>
      </c>
      <c r="AY55" s="127">
        <f>'Base Output Fx'!Z9</f>
        <v>1594.2634588917383</v>
      </c>
      <c r="AZ55" s="127">
        <f>'Base Output Fx'!AA9</f>
        <v>1713.5487666550282</v>
      </c>
      <c r="BA55" s="127">
        <f>'Base Output Fx'!AB9</f>
        <v>1844.9432313013963</v>
      </c>
      <c r="BB55" s="127">
        <f>'Base Output Fx'!AC9</f>
        <v>1986.6540966647481</v>
      </c>
      <c r="BC55" s="127">
        <f>'Base Output Fx'!AD9</f>
        <v>2139.5159639437811</v>
      </c>
      <c r="BD55" s="127">
        <f>'Base Output Fx'!AE9</f>
        <v>2304.4318253181304</v>
      </c>
      <c r="BE55" s="127">
        <f>'Base Output Fx'!AF9</f>
        <v>2482.3784467368782</v>
      </c>
      <c r="BF55" s="35"/>
    </row>
    <row r="56" spans="2:58" x14ac:dyDescent="0.35"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126" t="s">
        <v>24</v>
      </c>
      <c r="AP56" s="127">
        <f>'Base Output Fx'!Q10</f>
        <v>0</v>
      </c>
      <c r="AQ56" s="127">
        <f>'Base Output Fx'!R10</f>
        <v>0</v>
      </c>
      <c r="AR56" s="127">
        <f>'Base Output Fx'!S10</f>
        <v>0</v>
      </c>
      <c r="AS56" s="127">
        <f>'Base Output Fx'!T10</f>
        <v>0</v>
      </c>
      <c r="AT56" s="127">
        <f>'Base Output Fx'!U10</f>
        <v>0</v>
      </c>
      <c r="AU56" s="127">
        <f>'Base Output Fx'!V10</f>
        <v>0</v>
      </c>
      <c r="AV56" s="127">
        <f>'Base Output Fx'!W10</f>
        <v>0</v>
      </c>
      <c r="AW56" s="127">
        <f>'Base Output Fx'!X10</f>
        <v>0</v>
      </c>
      <c r="AX56" s="127">
        <f>'Base Output Fx'!Y10</f>
        <v>0</v>
      </c>
      <c r="AY56" s="127">
        <f>'Base Output Fx'!Z10</f>
        <v>0</v>
      </c>
      <c r="AZ56" s="127">
        <f>'Base Output Fx'!AA10</f>
        <v>0</v>
      </c>
      <c r="BA56" s="127">
        <f>'Base Output Fx'!AB10</f>
        <v>0</v>
      </c>
      <c r="BB56" s="127">
        <f>'Base Output Fx'!AC10</f>
        <v>0</v>
      </c>
      <c r="BC56" s="127">
        <f>'Base Output Fx'!AD10</f>
        <v>0</v>
      </c>
      <c r="BD56" s="127">
        <f>'Base Output Fx'!AE10</f>
        <v>0</v>
      </c>
      <c r="BE56" s="127">
        <f>'Base Output Fx'!AF10</f>
        <v>0</v>
      </c>
      <c r="BF56" s="35"/>
    </row>
    <row r="57" spans="2:58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126" t="s">
        <v>23</v>
      </c>
      <c r="AP57" s="127">
        <f>'Base Output Fx'!Q11</f>
        <v>1715.6224189183854</v>
      </c>
      <c r="AQ57" s="127">
        <f>'Base Output Fx'!R11</f>
        <v>1711.0555446887893</v>
      </c>
      <c r="AR57" s="127">
        <f>'Base Output Fx'!S11</f>
        <v>1706.4886704591927</v>
      </c>
      <c r="AS57" s="127">
        <f>'Base Output Fx'!T11</f>
        <v>1701.9217962295961</v>
      </c>
      <c r="AT57" s="127">
        <f>'Base Output Fx'!U11</f>
        <v>1697.354922</v>
      </c>
      <c r="AU57" s="127">
        <f>'Base Output Fx'!V11</f>
        <v>1685.2885064101126</v>
      </c>
      <c r="AV57" s="127">
        <f>'Base Output Fx'!W11</f>
        <v>1669.286405989696</v>
      </c>
      <c r="AW57" s="127">
        <f>'Base Output Fx'!X11</f>
        <v>1653.5909487571366</v>
      </c>
      <c r="AX57" s="127">
        <f>'Base Output Fx'!Y11</f>
        <v>1638.2051303610647</v>
      </c>
      <c r="AY57" s="127">
        <f>'Base Output Fx'!Z11</f>
        <v>1623.1312938175702</v>
      </c>
      <c r="AZ57" s="127">
        <f>'Base Output Fx'!AA11</f>
        <v>1608.371054601691</v>
      </c>
      <c r="BA57" s="127">
        <f>'Base Output Fx'!AB11</f>
        <v>1593.9386682837405</v>
      </c>
      <c r="BB57" s="127">
        <f>'Base Output Fx'!AC11</f>
        <v>1579.827522001824</v>
      </c>
      <c r="BC57" s="127">
        <f>'Base Output Fx'!AD11</f>
        <v>1566.036098334944</v>
      </c>
      <c r="BD57" s="127">
        <f>'Base Output Fx'!AE11</f>
        <v>1552.5618877602651</v>
      </c>
      <c r="BE57" s="127">
        <f>'Base Output Fx'!AF11</f>
        <v>1539.4013655658903</v>
      </c>
      <c r="BF57" s="35"/>
    </row>
    <row r="58" spans="2:58" ht="26" customHeight="1" x14ac:dyDescent="0.35">
      <c r="B58" s="1"/>
      <c r="C58" s="172" t="s">
        <v>8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126" t="s">
        <v>63</v>
      </c>
      <c r="AP58" s="127">
        <f>'Base Output Fx'!Q12</f>
        <v>4424</v>
      </c>
      <c r="AQ58" s="127">
        <f>'Base Output Fx'!R12</f>
        <v>4503</v>
      </c>
      <c r="AR58" s="127">
        <f>'Base Output Fx'!S12</f>
        <v>4608</v>
      </c>
      <c r="AS58" s="127">
        <f>'Base Output Fx'!T12</f>
        <v>4649</v>
      </c>
      <c r="AT58" s="127">
        <f>'Base Output Fx'!U12</f>
        <v>4691</v>
      </c>
      <c r="AU58" s="127">
        <f>'Base Output Fx'!V12</f>
        <v>4718</v>
      </c>
      <c r="AV58" s="127">
        <f>'Base Output Fx'!W12</f>
        <v>4755.5960281308016</v>
      </c>
      <c r="AW58" s="127">
        <f>'Base Output Fx'!X12</f>
        <v>4793.4916453525766</v>
      </c>
      <c r="AX58" s="127">
        <f>'Base Output Fx'!Y12</f>
        <v>4831.6892389819623</v>
      </c>
      <c r="AY58" s="127">
        <f>'Base Output Fx'!Z12</f>
        <v>4870.191215359253</v>
      </c>
      <c r="AZ58" s="127">
        <f>'Base Output Fx'!AA12</f>
        <v>4909</v>
      </c>
      <c r="BA58" s="127">
        <f>'Base Output Fx'!AB12</f>
        <v>4938.2493632340793</v>
      </c>
      <c r="BB58" s="127">
        <f>'Base Output Fx'!AC12</f>
        <v>4967.673003357464</v>
      </c>
      <c r="BC58" s="127">
        <f>'Base Output Fx'!AD12</f>
        <v>4997.2719587665761</v>
      </c>
      <c r="BD58" s="127">
        <f>'Base Output Fx'!AE12</f>
        <v>5027.0472740449304</v>
      </c>
      <c r="BE58" s="127">
        <f>'Base Output Fx'!AF12</f>
        <v>5057</v>
      </c>
      <c r="BF58" s="35"/>
    </row>
    <row r="59" spans="2:58" x14ac:dyDescent="0.35">
      <c r="B59" s="1"/>
      <c r="C59" s="4"/>
      <c r="D59" s="179" t="s">
        <v>9</v>
      </c>
      <c r="E59" s="180"/>
      <c r="F59" s="180"/>
      <c r="G59" s="180"/>
      <c r="H59" s="180"/>
      <c r="I59" s="4"/>
      <c r="J59" s="4"/>
      <c r="K59" s="181" t="s">
        <v>288</v>
      </c>
      <c r="L59" s="182"/>
      <c r="M59" s="182"/>
      <c r="N59" s="1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126" t="s">
        <v>64</v>
      </c>
      <c r="AP59" s="127">
        <f>'Base Output Fx'!Q13</f>
        <v>9789.5982547883941</v>
      </c>
      <c r="AQ59" s="127">
        <f>'Base Output Fx'!R13</f>
        <v>9801.0361174523405</v>
      </c>
      <c r="AR59" s="127">
        <f>'Base Output Fx'!S13</f>
        <v>9698.0350313784566</v>
      </c>
      <c r="AS59" s="127">
        <f>'Base Output Fx'!T13</f>
        <v>9804.5714545700066</v>
      </c>
      <c r="AT59" s="127">
        <f>'Base Output Fx'!U13</f>
        <v>10000</v>
      </c>
      <c r="AU59" s="127">
        <f>'Base Output Fx'!V13</f>
        <v>10143.014991994272</v>
      </c>
      <c r="AV59" s="127">
        <f>'Base Output Fx'!W13</f>
        <v>10288.075312782057</v>
      </c>
      <c r="AW59" s="127">
        <f>'Base Output Fx'!X13</f>
        <v>10435.210213631457</v>
      </c>
      <c r="AX59" s="127">
        <f>'Base Output Fx'!Y13</f>
        <v>10584.449364147562</v>
      </c>
      <c r="AY59" s="127">
        <f>'Base Output Fx'!Z13</f>
        <v>10735.822858255297</v>
      </c>
      <c r="AZ59" s="127">
        <f>'Base Output Fx'!AA13</f>
        <v>10889.361220267827</v>
      </c>
      <c r="BA59" s="127">
        <f>'Base Output Fx'!AB13</f>
        <v>11045.095411041761</v>
      </c>
      <c r="BB59" s="127">
        <f>'Base Output Fx'!AC13</f>
        <v>11203.056834220371</v>
      </c>
      <c r="BC59" s="127">
        <f>'Base Output Fx'!AD13</f>
        <v>11363.277342566113</v>
      </c>
      <c r="BD59" s="127">
        <f>'Base Output Fx'!AE13</f>
        <v>11525.789244383692</v>
      </c>
      <c r="BE59" s="127">
        <f>'Base Output Fx'!AF13</f>
        <v>11690.625310035006</v>
      </c>
      <c r="BF59" s="35"/>
    </row>
    <row r="60" spans="2:58" x14ac:dyDescent="0.35">
      <c r="B60" s="1"/>
      <c r="C60" s="14"/>
      <c r="D60" s="15">
        <v>2015</v>
      </c>
      <c r="E60" s="15">
        <v>2016</v>
      </c>
      <c r="F60" s="15">
        <v>2017</v>
      </c>
      <c r="G60" s="15">
        <v>2018</v>
      </c>
      <c r="H60" s="15">
        <v>2019</v>
      </c>
      <c r="I60" s="16"/>
      <c r="J60" s="16"/>
      <c r="K60" s="17">
        <v>2025</v>
      </c>
      <c r="L60" s="16"/>
      <c r="M60" s="17">
        <v>2030</v>
      </c>
      <c r="N60" s="1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>
        <f>(AZ53/AT53)^(1/6)-1</f>
        <v>1.9742195223084735E-2</v>
      </c>
      <c r="BA60" s="35"/>
      <c r="BB60" s="35"/>
      <c r="BC60" s="35"/>
      <c r="BD60" s="35"/>
      <c r="BE60" s="35">
        <f>(BE53/AZ53)^(1/5)-1</f>
        <v>2.7904036162556656E-2</v>
      </c>
      <c r="BF60" s="35"/>
    </row>
    <row r="61" spans="2:58" ht="18" customHeight="1" x14ac:dyDescent="0.35">
      <c r="B61" s="1"/>
      <c r="C61" s="10" t="s">
        <v>4</v>
      </c>
      <c r="D61" s="20">
        <f>'Base Output Fx'!D15</f>
        <v>18007966.489999998</v>
      </c>
      <c r="E61" s="20">
        <f>'Base Output Fx'!E15</f>
        <v>18396475.190000001</v>
      </c>
      <c r="F61" s="20">
        <f>'Base Output Fx'!F15</f>
        <v>18344624.719999999</v>
      </c>
      <c r="G61" s="20">
        <f>'Base Output Fx'!G15</f>
        <v>18474061.73</v>
      </c>
      <c r="H61" s="20">
        <f>'Base Output Fx'!H15</f>
        <v>18832942.780000001</v>
      </c>
      <c r="I61" s="11"/>
      <c r="J61" s="31">
        <f>(H61/D61)^(1/4)-1</f>
        <v>1.1261278432715294E-2</v>
      </c>
      <c r="K61" s="29">
        <f>'Base Output Fx'!K15</f>
        <v>19529017.464138828</v>
      </c>
      <c r="L61" s="13"/>
      <c r="M61" s="29">
        <f>'Base Output Fx'!M15</f>
        <v>20312195.766001705</v>
      </c>
      <c r="N61" s="1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2:58" ht="18" customHeight="1" x14ac:dyDescent="0.35">
      <c r="B62" s="1"/>
      <c r="C62" s="10" t="s">
        <v>5</v>
      </c>
      <c r="D62" s="20">
        <f>'Base Output Fx'!D16</f>
        <v>8144992</v>
      </c>
      <c r="E62" s="20">
        <f>'Base Output Fx'!E16</f>
        <v>8627035</v>
      </c>
      <c r="F62" s="20">
        <f>'Base Output Fx'!F16</f>
        <v>9279034</v>
      </c>
      <c r="G62" s="20">
        <f>'Base Output Fx'!G16</f>
        <v>10088173</v>
      </c>
      <c r="H62" s="20">
        <f>'Base Output Fx'!H16</f>
        <v>11103508</v>
      </c>
      <c r="I62" s="11"/>
      <c r="J62" s="31">
        <f>(H62/D62)^(1/4)-1</f>
        <v>8.0543827781500266E-2</v>
      </c>
      <c r="K62" s="29">
        <f>'Base Output Fx'!K16</f>
        <v>17135487.666550282</v>
      </c>
      <c r="L62" s="13"/>
      <c r="M62" s="29">
        <f>'Base Output Fx'!M16</f>
        <v>24823784.467368782</v>
      </c>
      <c r="N62" s="1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2:58" ht="18" customHeight="1" x14ac:dyDescent="0.35">
      <c r="B63" s="1"/>
      <c r="C63" s="10" t="s">
        <v>6</v>
      </c>
      <c r="D63" s="20">
        <f>'Base Output Fx'!D17</f>
        <v>17156224.189183854</v>
      </c>
      <c r="E63" s="20">
        <f>'Base Output Fx'!E17</f>
        <v>17110555.446887892</v>
      </c>
      <c r="F63" s="20">
        <f>'Base Output Fx'!F17</f>
        <v>17064886.704591926</v>
      </c>
      <c r="G63" s="20">
        <f>'Base Output Fx'!G17</f>
        <v>17019217.962295961</v>
      </c>
      <c r="H63" s="20">
        <f>'Base Output Fx'!H17</f>
        <v>16973549.219999999</v>
      </c>
      <c r="I63" s="11"/>
      <c r="J63" s="28"/>
      <c r="K63" s="29">
        <f>'Base Output Fx'!K17</f>
        <v>16083710.546016909</v>
      </c>
      <c r="L63" s="13"/>
      <c r="M63" s="29">
        <f>'Base Output Fx'!M17</f>
        <v>15394013.655658903</v>
      </c>
      <c r="N63" s="1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2:58" ht="18" customHeight="1" x14ac:dyDescent="0.35">
      <c r="B64" s="1"/>
      <c r="C64" s="18" t="s">
        <v>11</v>
      </c>
      <c r="D64" s="20">
        <f>'Base Output Fx'!D18</f>
        <v>43309182.679183856</v>
      </c>
      <c r="E64" s="20">
        <f>'Base Output Fx'!E18</f>
        <v>44134065.636887893</v>
      </c>
      <c r="F64" s="20">
        <f>'Base Output Fx'!F18</f>
        <v>44688545.424591929</v>
      </c>
      <c r="G64" s="20">
        <f>'Base Output Fx'!G18</f>
        <v>45581452.692295961</v>
      </c>
      <c r="H64" s="20">
        <f>'Base Output Fx'!H18</f>
        <v>46910000</v>
      </c>
      <c r="I64" s="11"/>
      <c r="J64" s="28"/>
      <c r="K64" s="29">
        <f>'Base Output Fx'!K18</f>
        <v>52748215.676706024</v>
      </c>
      <c r="L64" s="13"/>
      <c r="M64" s="29">
        <f>'Base Output Fx'!M18</f>
        <v>60529993.889029384</v>
      </c>
      <c r="N64" s="1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2:58" ht="18" customHeight="1" x14ac:dyDescent="0.35">
      <c r="B65" s="1"/>
      <c r="C65" s="18" t="s">
        <v>241</v>
      </c>
      <c r="D65" s="20">
        <f>'Base Output Fx'!D19</f>
        <v>9789.5982547883941</v>
      </c>
      <c r="E65" s="20">
        <f>'Base Output Fx'!E19</f>
        <v>9801.0361174523405</v>
      </c>
      <c r="F65" s="20">
        <f>'Base Output Fx'!F19</f>
        <v>9698.0350313784566</v>
      </c>
      <c r="G65" s="20">
        <f>'Base Output Fx'!G19</f>
        <v>9804.5714545700066</v>
      </c>
      <c r="H65" s="20">
        <f>'Base Output Fx'!H19</f>
        <v>10000</v>
      </c>
      <c r="I65" s="11"/>
      <c r="J65" s="11"/>
      <c r="K65" s="29">
        <f>'Base Output Fx'!K19</f>
        <v>10745.205882400902</v>
      </c>
      <c r="L65" s="13"/>
      <c r="M65" s="29">
        <f>'Base Output Fx'!M19</f>
        <v>11969.545953931063</v>
      </c>
      <c r="N65" s="1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2:58" ht="9.5" customHeight="1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2:58" ht="18" customHeight="1" x14ac:dyDescent="0.35"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2:58" x14ac:dyDescent="0.35">
      <c r="F68" s="47" t="str">
        <f>J69</f>
        <v>Medicare FFS</v>
      </c>
      <c r="G68" s="48">
        <f>L69/SUM(L$69:L$71)</f>
        <v>0.40146968194414839</v>
      </c>
      <c r="J68" s="189" t="s">
        <v>70</v>
      </c>
      <c r="K68" s="189"/>
      <c r="L68" s="189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2:58" x14ac:dyDescent="0.35">
      <c r="F69" t="str">
        <f>J70</f>
        <v>Managed Medicare</v>
      </c>
      <c r="G69" s="48">
        <f>L70/SUM(L$69:L$71)</f>
        <v>0.23669810274994671</v>
      </c>
      <c r="J69" s="183" t="s">
        <v>4</v>
      </c>
      <c r="K69" s="183"/>
      <c r="L69" s="36">
        <f>'Base Output Fx'!L23</f>
        <v>18832942.780000001</v>
      </c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2:58" x14ac:dyDescent="0.35">
      <c r="F70" s="47" t="str">
        <f>J71</f>
        <v>All other</v>
      </c>
      <c r="G70" s="48">
        <f>L71/SUM(L$69:L$71)</f>
        <v>0.36183221530590493</v>
      </c>
      <c r="J70" s="184" t="s">
        <v>27</v>
      </c>
      <c r="K70" s="184"/>
      <c r="L70" s="37">
        <f>'Base Output Fx'!L24</f>
        <v>11103508</v>
      </c>
    </row>
    <row r="71" spans="2:58" x14ac:dyDescent="0.35">
      <c r="J71" s="185" t="s">
        <v>6</v>
      </c>
      <c r="K71" s="185"/>
      <c r="L71" s="38">
        <f>'Base Output Fx'!L25</f>
        <v>16973549.219999999</v>
      </c>
    </row>
    <row r="72" spans="2:58" ht="27.5" customHeight="1" x14ac:dyDescent="0.45">
      <c r="AQ72" s="43"/>
      <c r="AR72" s="44"/>
      <c r="AS72" s="44"/>
      <c r="AT72" s="45"/>
      <c r="AU72" s="55">
        <v>2015</v>
      </c>
      <c r="AV72" s="55">
        <v>2020</v>
      </c>
      <c r="AW72" s="55">
        <v>2025</v>
      </c>
      <c r="AX72" s="55">
        <v>2030</v>
      </c>
    </row>
    <row r="73" spans="2:58" ht="31" customHeight="1" x14ac:dyDescent="0.45">
      <c r="AP73" s="186" t="s">
        <v>68</v>
      </c>
      <c r="AQ73" s="187"/>
      <c r="AR73" s="187"/>
      <c r="AS73" s="187"/>
      <c r="AT73" s="188"/>
      <c r="AU73" s="53">
        <f>((AP52/AP53)-1)*D52</f>
        <v>0</v>
      </c>
      <c r="AV73" s="53">
        <f>((AU52/AU53)-1)*I52</f>
        <v>6.0763340757998971</v>
      </c>
      <c r="AW73" s="53">
        <f>((AZ52/AZ53)-1)*K52</f>
        <v>65.858073017267571</v>
      </c>
      <c r="AX73" s="54">
        <f>((BE52/BE53)-1)*M52</f>
        <v>-117.84086895285509</v>
      </c>
    </row>
    <row r="74" spans="2:58" ht="29" customHeight="1" x14ac:dyDescent="0.35">
      <c r="I74" t="s">
        <v>12</v>
      </c>
      <c r="AU74" s="177" t="s">
        <v>160</v>
      </c>
      <c r="AV74" s="178"/>
      <c r="AW74" s="178"/>
      <c r="AX74" s="178"/>
    </row>
    <row r="76" spans="2:58" ht="27.5" customHeight="1" x14ac:dyDescent="0.35">
      <c r="AP76" s="40"/>
      <c r="AQ76" s="25"/>
      <c r="AR76" s="25"/>
      <c r="AS76" s="25"/>
      <c r="AT76" s="25"/>
      <c r="AU76" s="25">
        <v>0</v>
      </c>
      <c r="AV76" s="25"/>
      <c r="AW76" s="25"/>
      <c r="AX76" s="25"/>
    </row>
    <row r="77" spans="2:58" ht="30.5" customHeight="1" x14ac:dyDescent="0.35"/>
    <row r="78" spans="2:58" ht="30.5" customHeight="1" x14ac:dyDescent="0.35"/>
    <row r="79" spans="2:58" ht="30.5" customHeight="1" x14ac:dyDescent="0.35"/>
    <row r="80" spans="2:58" ht="30.5" customHeight="1" x14ac:dyDescent="0.35"/>
    <row r="81" spans="3:4" ht="30.5" customHeight="1" x14ac:dyDescent="0.35"/>
    <row r="82" spans="3:4" ht="32" customHeight="1" x14ac:dyDescent="0.35"/>
    <row r="83" spans="3:4" ht="32" customHeight="1" x14ac:dyDescent="0.35"/>
    <row r="85" spans="3:4" ht="15.5" x14ac:dyDescent="0.35">
      <c r="C85" s="41"/>
    </row>
    <row r="94" spans="3:4" x14ac:dyDescent="0.35">
      <c r="D94" s="84" t="str">
        <f>D16</f>
        <v>Mid-range: early breast cancer down 20%, prostate down 10%, all others down 3%</v>
      </c>
    </row>
    <row r="95" spans="3:4" x14ac:dyDescent="0.35">
      <c r="D95" s="84" t="str">
        <f>D19</f>
        <v xml:space="preserve">No movement of demand not otherwise modeled </v>
      </c>
    </row>
    <row r="96" spans="3:4" x14ac:dyDescent="0.35">
      <c r="D96" s="84" t="str">
        <f>D17</f>
        <v>10% of patients with metastatic cancer have new indication with 20 RVUs</v>
      </c>
    </row>
  </sheetData>
  <sheetProtection algorithmName="SHA-512" hashValue="M34l4/pKfjkWWf7vik1dHffiM0rrCugeNxIQx/+xH5vd4KdgEGVt+yx1oSQ7+uchmLZhagbgP1EGbOzIvVvPvw==" saltValue="d2KDlEXAjBfBTDRwFmNZrQ==" spinCount="100000" sheet="1" objects="1" scenarios="1"/>
  <mergeCells count="23">
    <mergeCell ref="D14:H14"/>
    <mergeCell ref="C3:G3"/>
    <mergeCell ref="D8:H8"/>
    <mergeCell ref="D9:H9"/>
    <mergeCell ref="D12:H12"/>
    <mergeCell ref="D13:H13"/>
    <mergeCell ref="J68:L68"/>
    <mergeCell ref="D15:H15"/>
    <mergeCell ref="D16:H16"/>
    <mergeCell ref="D17:H17"/>
    <mergeCell ref="D18:H18"/>
    <mergeCell ref="D19:H19"/>
    <mergeCell ref="C49:M49"/>
    <mergeCell ref="D50:I50"/>
    <mergeCell ref="K50:M50"/>
    <mergeCell ref="C58:M58"/>
    <mergeCell ref="D59:H59"/>
    <mergeCell ref="K59:M59"/>
    <mergeCell ref="J69:K69"/>
    <mergeCell ref="J70:K70"/>
    <mergeCell ref="J71:K71"/>
    <mergeCell ref="AP73:AT73"/>
    <mergeCell ref="AU74:AX7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4FA62D5F-9A3D-4C76-A259-1191EAE5535F}">
          <x14:formula1>
            <xm:f>Dropdowns!$A$4:$A$9</xm:f>
          </x14:formula1>
          <xm:sqref>H3</xm:sqref>
        </x14:dataValidation>
        <x14:dataValidation type="list" allowBlank="1" showInputMessage="1" showErrorMessage="1" xr:uid="{014E2F55-97A3-467C-9E04-25701DC6840C}">
          <x14:formula1>
            <xm:f>'RO Exit Scenarios'!$A$9:$A$13</xm:f>
          </x14:formula1>
          <xm:sqref>D9</xm:sqref>
        </x14:dataValidation>
        <x14:dataValidation type="list" allowBlank="1" showInputMessage="1" showErrorMessage="1" xr:uid="{820B303B-5338-41B0-9F52-247ABC9B98CB}">
          <x14:formula1>
            <xm:f>'RVU scenarios'!$A$12:$A$16</xm:f>
          </x14:formula1>
          <xm:sqref>D8:H8</xm:sqref>
        </x14:dataValidation>
        <x14:dataValidation type="list" allowBlank="1" showInputMessage="1" showErrorMessage="1" xr:uid="{3A624D55-4899-4FF6-A6C6-663AA7316D1A}">
          <x14:formula1>
            <xm:f>'Demand scenarios'!$A$101:$A$103</xm:f>
          </x14:formula1>
          <xm:sqref>D18:H18</xm:sqref>
        </x14:dataValidation>
        <x14:dataValidation type="list" allowBlank="1" showInputMessage="1" showErrorMessage="1" xr:uid="{CA1A1DB5-2BF6-4A97-99D8-1C321BD0E127}">
          <x14:formula1>
            <xm:f>'Demand scenarios'!$A$95:$A$97</xm:f>
          </x14:formula1>
          <xm:sqref>D17:H17</xm:sqref>
        </x14:dataValidation>
        <x14:dataValidation type="list" allowBlank="1" showInputMessage="1" showErrorMessage="1" xr:uid="{C2673159-5EE7-4E3D-9273-C371DB6BE192}">
          <x14:formula1>
            <xm:f>'Demand scenarios'!$A$106:$A$110</xm:f>
          </x14:formula1>
          <xm:sqref>D19:H19</xm:sqref>
        </x14:dataValidation>
        <x14:dataValidation type="list" allowBlank="1" showInputMessage="1" showErrorMessage="1" xr:uid="{60997A1C-7A9C-44C6-8EA2-E4F04F8EE31B}">
          <x14:formula1>
            <xm:f>'Demand scenarios'!$A$88:$A$91</xm:f>
          </x14:formula1>
          <xm:sqref>D16:H16</xm:sqref>
        </x14:dataValidation>
        <x14:dataValidation type="list" allowBlank="1" showInputMessage="1" showErrorMessage="1" xr:uid="{6E66896E-1D70-4587-9B74-62B1C836F461}">
          <x14:formula1>
            <xm:f>'Demand scenarios'!$A$61:$A$63</xm:f>
          </x14:formula1>
          <xm:sqref>D14:H15</xm:sqref>
        </x14:dataValidation>
        <x14:dataValidation type="list" allowBlank="1" showInputMessage="1" showErrorMessage="1" xr:uid="{099CA2F2-10EC-471F-8517-A4C7F3E14613}">
          <x14:formula1>
            <xm:f>'Demand scenarios'!$A$48:$A$50</xm:f>
          </x14:formula1>
          <xm:sqref>D13:H13</xm:sqref>
        </x14:dataValidation>
        <x14:dataValidation type="list" allowBlank="1" showInputMessage="1" showErrorMessage="1" xr:uid="{4BDA56DA-C9A4-424A-A6D3-CC963D2F7C9B}">
          <x14:formula1>
            <xm:f>'Demand scenarios'!$A$35:$A$37</xm:f>
          </x14:formula1>
          <xm:sqref>D12:H12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E16B-97A6-4B29-A897-312EC0FDA25E}">
  <sheetPr>
    <tabColor theme="5" tint="-0.249977111117893"/>
  </sheetPr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299D-4DB1-4FB7-BCCA-45C1CA3A7A06}">
  <sheetPr>
    <tabColor theme="5" tint="0.39997558519241921"/>
  </sheetPr>
  <dimension ref="B1:AK52"/>
  <sheetViews>
    <sheetView showGridLines="0" zoomScale="90" zoomScaleNormal="90" workbookViewId="0">
      <selection sqref="A1:XFD1048576"/>
    </sheetView>
  </sheetViews>
  <sheetFormatPr defaultRowHeight="14.5" x14ac:dyDescent="0.35"/>
  <cols>
    <col min="1" max="2" width="1.54296875" customWidth="1"/>
    <col min="3" max="3" width="17.36328125" bestFit="1" customWidth="1"/>
    <col min="4" max="4" width="33.453125" bestFit="1" customWidth="1"/>
    <col min="5" max="5" width="28.1796875" bestFit="1" customWidth="1"/>
    <col min="6" max="7" width="28.26953125" bestFit="1" customWidth="1"/>
    <col min="8" max="8" width="28.08984375" bestFit="1" customWidth="1"/>
    <col min="9" max="9" width="4.81640625" bestFit="1" customWidth="1"/>
    <col min="10" max="10" width="8.7265625" bestFit="1" customWidth="1"/>
    <col min="11" max="11" width="11.08984375" bestFit="1" customWidth="1"/>
    <col min="12" max="12" width="13.36328125" customWidth="1"/>
    <col min="13" max="13" width="11.36328125" bestFit="1" customWidth="1"/>
    <col min="14" max="15" width="1.6328125" customWidth="1"/>
    <col min="16" max="16" width="12.54296875" bestFit="1" customWidth="1"/>
    <col min="17" max="17" width="13.7265625" bestFit="1" customWidth="1"/>
    <col min="18" max="19" width="13.6328125" bestFit="1" customWidth="1"/>
    <col min="20" max="20" width="13.7265625" bestFit="1" customWidth="1"/>
    <col min="21" max="21" width="13.6328125" bestFit="1" customWidth="1"/>
    <col min="22" max="22" width="13.453125" bestFit="1" customWidth="1"/>
    <col min="23" max="23" width="14.6328125" bestFit="1" customWidth="1"/>
    <col min="24" max="24" width="13.81640625" bestFit="1" customWidth="1"/>
    <col min="25" max="25" width="13.90625" bestFit="1" customWidth="1"/>
    <col min="26" max="26" width="14.08984375" bestFit="1" customWidth="1"/>
    <col min="27" max="27" width="13.453125" bestFit="1" customWidth="1"/>
    <col min="28" max="28" width="15.1796875" bestFit="1" customWidth="1"/>
    <col min="29" max="30" width="15" bestFit="1" customWidth="1"/>
    <col min="31" max="31" width="14.7265625" bestFit="1" customWidth="1"/>
    <col min="32" max="32" width="14.08984375" bestFit="1" customWidth="1"/>
    <col min="33" max="33" width="5.6328125" bestFit="1" customWidth="1"/>
    <col min="35" max="35" width="8.36328125" bestFit="1" customWidth="1"/>
    <col min="36" max="36" width="4.26953125" bestFit="1" customWidth="1"/>
  </cols>
  <sheetData>
    <row r="1" spans="2:37" ht="8.5" customHeight="1" x14ac:dyDescent="0.35"/>
    <row r="2" spans="2:37" ht="10.5" customHeight="1" x14ac:dyDescent="0.3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2:37" ht="26" x14ac:dyDescent="0.35">
      <c r="B3" s="6"/>
      <c r="C3" s="167" t="s">
        <v>41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6"/>
      <c r="O3" s="80"/>
      <c r="P3" s="35"/>
      <c r="Q3" s="35"/>
      <c r="R3" s="35"/>
      <c r="S3" s="35"/>
      <c r="T3" s="35"/>
      <c r="U3" s="35"/>
      <c r="V3" s="35"/>
      <c r="W3" s="85"/>
      <c r="X3" s="85"/>
      <c r="Y3" s="85"/>
      <c r="Z3" s="8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2:37" ht="16" customHeight="1" x14ac:dyDescent="0.6">
      <c r="B4" s="6"/>
      <c r="C4" s="5"/>
      <c r="D4" s="169" t="s">
        <v>9</v>
      </c>
      <c r="E4" s="170"/>
      <c r="F4" s="171"/>
      <c r="G4" s="171"/>
      <c r="H4" s="171"/>
      <c r="I4" s="171"/>
      <c r="J4" s="5"/>
      <c r="K4" s="169" t="s">
        <v>7</v>
      </c>
      <c r="L4" s="169"/>
      <c r="M4" s="170"/>
      <c r="N4" s="6"/>
      <c r="O4" s="80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90">
        <f>AA12-V12</f>
        <v>191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2:37" x14ac:dyDescent="0.35">
      <c r="B5" s="6"/>
      <c r="C5" s="2"/>
      <c r="D5" s="3">
        <v>2015</v>
      </c>
      <c r="E5" s="3">
        <v>2016</v>
      </c>
      <c r="F5" s="3">
        <v>2017</v>
      </c>
      <c r="G5" s="3">
        <v>2018</v>
      </c>
      <c r="H5" s="3">
        <v>2019</v>
      </c>
      <c r="I5" s="3">
        <v>2020</v>
      </c>
      <c r="J5" s="3"/>
      <c r="K5" s="3">
        <v>2025</v>
      </c>
      <c r="L5" s="3"/>
      <c r="M5" s="3">
        <v>2030</v>
      </c>
      <c r="N5" s="6"/>
      <c r="O5" s="80"/>
      <c r="P5" s="35"/>
      <c r="Q5" s="115">
        <v>2015</v>
      </c>
      <c r="R5" s="115">
        <v>2016</v>
      </c>
      <c r="S5" s="115">
        <v>2017</v>
      </c>
      <c r="T5" s="115">
        <v>2018</v>
      </c>
      <c r="U5" s="115">
        <v>2019</v>
      </c>
      <c r="V5" s="115">
        <v>2020</v>
      </c>
      <c r="W5" s="115">
        <v>2021</v>
      </c>
      <c r="X5" s="115">
        <v>2022</v>
      </c>
      <c r="Y5" s="115">
        <v>2023</v>
      </c>
      <c r="Z5" s="115">
        <v>2024</v>
      </c>
      <c r="AA5" s="115">
        <v>2025</v>
      </c>
      <c r="AB5" s="115">
        <v>2026</v>
      </c>
      <c r="AC5" s="115">
        <v>2027</v>
      </c>
      <c r="AD5" s="115">
        <v>2028</v>
      </c>
      <c r="AE5" s="115">
        <v>2029</v>
      </c>
      <c r="AF5" s="115">
        <v>2030</v>
      </c>
      <c r="AG5" s="35"/>
      <c r="AH5" s="35"/>
      <c r="AI5" s="35"/>
      <c r="AJ5" s="35"/>
      <c r="AK5" s="35"/>
    </row>
    <row r="6" spans="2:37" ht="18" customHeight="1" x14ac:dyDescent="0.35">
      <c r="B6" s="6"/>
      <c r="C6" s="7" t="s">
        <v>0</v>
      </c>
      <c r="D6" s="19">
        <v>4424</v>
      </c>
      <c r="E6" s="19">
        <f>D6-D8+E7</f>
        <v>4503</v>
      </c>
      <c r="F6" s="19">
        <f>E6-E8+F7</f>
        <v>4608</v>
      </c>
      <c r="G6" s="19">
        <f>F6-F8+G7</f>
        <v>4649</v>
      </c>
      <c r="H6" s="19">
        <f>G6-G8+H7</f>
        <v>4691</v>
      </c>
      <c r="I6" s="19">
        <f>H6-H8+I7</f>
        <v>4718</v>
      </c>
      <c r="J6" s="94">
        <f>I6-D6</f>
        <v>294</v>
      </c>
      <c r="K6" s="19">
        <f>I6-K8+K7</f>
        <v>4909</v>
      </c>
      <c r="L6" s="9"/>
      <c r="M6" s="19">
        <f>K6-M8+M7</f>
        <v>5057</v>
      </c>
      <c r="N6" s="6"/>
      <c r="O6" s="80"/>
      <c r="P6" s="35" t="s">
        <v>67</v>
      </c>
      <c r="Q6" s="119">
        <f>D6*('RVU scenarios'!B2/$H22)</f>
        <v>4330.9182679183859</v>
      </c>
      <c r="R6" s="119">
        <f>E6*('RVU scenarios'!C2/$H22)</f>
        <v>4413.406563688789</v>
      </c>
      <c r="S6" s="119">
        <f>F6*('RVU scenarios'!D2/$H22)</f>
        <v>4468.854542459193</v>
      </c>
      <c r="T6" s="119">
        <f>G6*('RVU scenarios'!E2/$H22)</f>
        <v>4558.1452692295961</v>
      </c>
      <c r="U6" s="119">
        <f>H6*('RVU scenarios'!F2/$H22)</f>
        <v>4691</v>
      </c>
      <c r="V6" s="119">
        <f>I6*('RVU scenarios'!G2/$H22)</f>
        <v>4785.4744732228974</v>
      </c>
      <c r="W6" s="119">
        <f>W12*('RVU scenarios'!H2/$H22)</f>
        <v>4892.5930094576906</v>
      </c>
      <c r="X6" s="119">
        <f>X12*('RVU scenarios'!I2/$H22)</f>
        <v>5002.1092976540258</v>
      </c>
      <c r="Y6" s="119">
        <f>Y12*('RVU scenarios'!J2/$H22)</f>
        <v>5114.0770093301244</v>
      </c>
      <c r="Z6" s="119">
        <f>Z12*('RVU scenarios'!K2/$H22)</f>
        <v>5228.5510173928014</v>
      </c>
      <c r="AA6" s="119">
        <f>K6*('RVU scenarios'!L2/$H22)</f>
        <v>5345.5874230294758</v>
      </c>
      <c r="AB6" s="117">
        <f>AB12*('RVU scenarios'!M2/$H22)</f>
        <v>5454.3435380436631</v>
      </c>
      <c r="AC6" s="119">
        <f>AC12*('RVU scenarios'!N2/$H22)</f>
        <v>5565.3122990435868</v>
      </c>
      <c r="AD6" s="119">
        <f>AD12*('RVU scenarios'!O2/$H22)</f>
        <v>5678.5387223693206</v>
      </c>
      <c r="AE6" s="119">
        <f>AE12*('RVU scenarios'!P2/$H22)</f>
        <v>5794.0687402195408</v>
      </c>
      <c r="AF6" s="119">
        <f>M6*('RVU scenarios'!Q2/$H22)</f>
        <v>5911.9492192847019</v>
      </c>
      <c r="AG6" s="35"/>
      <c r="AH6" s="35"/>
      <c r="AI6" s="85">
        <v>5911.9492192847019</v>
      </c>
      <c r="AJ6" s="35"/>
      <c r="AK6" s="35"/>
    </row>
    <row r="7" spans="2:37" ht="18" customHeight="1" x14ac:dyDescent="0.35">
      <c r="B7" s="6"/>
      <c r="C7" s="7" t="s">
        <v>1</v>
      </c>
      <c r="D7" s="8">
        <v>251</v>
      </c>
      <c r="E7" s="8">
        <v>226</v>
      </c>
      <c r="F7" s="8">
        <v>214</v>
      </c>
      <c r="G7" s="8">
        <v>191</v>
      </c>
      <c r="H7" s="8">
        <v>196</v>
      </c>
      <c r="I7" s="8">
        <v>223</v>
      </c>
      <c r="J7" s="9" t="s">
        <v>38</v>
      </c>
      <c r="K7" s="8">
        <f>187+203+194+209+190</f>
        <v>983</v>
      </c>
      <c r="L7" s="9" t="s">
        <v>39</v>
      </c>
      <c r="M7" s="8">
        <f>193+185+(189*3)</f>
        <v>945</v>
      </c>
      <c r="N7" s="6"/>
      <c r="O7" s="80"/>
      <c r="P7" s="35" t="s">
        <v>40</v>
      </c>
      <c r="Q7" s="119">
        <f>D18/$H22</f>
        <v>4330.9182679183859</v>
      </c>
      <c r="R7" s="119">
        <f>E18/$H22</f>
        <v>4413.406563688789</v>
      </c>
      <c r="S7" s="119">
        <f>F18/$H22</f>
        <v>4468.854542459193</v>
      </c>
      <c r="T7" s="119">
        <f>G18/$H22</f>
        <v>4558.1452692295961</v>
      </c>
      <c r="U7" s="119">
        <f>H18/$H22</f>
        <v>4691</v>
      </c>
      <c r="V7" s="119">
        <f t="shared" ref="V7:AF7" si="0">V8+V9+V11</f>
        <v>4779.3191659090071</v>
      </c>
      <c r="W7" s="119">
        <f t="shared" si="0"/>
        <v>4862.7064482811002</v>
      </c>
      <c r="X7" s="119">
        <f t="shared" si="0"/>
        <v>4953.3832860733728</v>
      </c>
      <c r="Y7" s="119">
        <f t="shared" si="0"/>
        <v>5051.8954034315229</v>
      </c>
      <c r="Z7" s="119">
        <f t="shared" si="0"/>
        <v>5158.8305170550902</v>
      </c>
      <c r="AA7" s="119">
        <f t="shared" si="0"/>
        <v>5274.8215676706022</v>
      </c>
      <c r="AB7" s="117">
        <f t="shared" si="0"/>
        <v>5406.7134705544868</v>
      </c>
      <c r="AC7" s="116">
        <f t="shared" si="0"/>
        <v>5549.597830533512</v>
      </c>
      <c r="AD7" s="116">
        <f t="shared" si="0"/>
        <v>5704.3202580631132</v>
      </c>
      <c r="AE7" s="116">
        <f t="shared" si="0"/>
        <v>5871.7928437792471</v>
      </c>
      <c r="AF7" s="116">
        <f t="shared" si="0"/>
        <v>6052.9993889029383</v>
      </c>
      <c r="AG7" s="35"/>
      <c r="AH7" s="35"/>
      <c r="AI7" s="89">
        <v>6266.638331698995</v>
      </c>
      <c r="AJ7" s="89">
        <f>AI7-AF7</f>
        <v>213.63894279605665</v>
      </c>
      <c r="AK7" s="35"/>
    </row>
    <row r="8" spans="2:37" ht="18" customHeight="1" x14ac:dyDescent="0.35">
      <c r="B8" s="6"/>
      <c r="C8" s="7" t="s">
        <v>2</v>
      </c>
      <c r="D8" s="8">
        <v>147</v>
      </c>
      <c r="E8" s="8">
        <v>109</v>
      </c>
      <c r="F8" s="8">
        <v>150</v>
      </c>
      <c r="G8" s="8">
        <v>154</v>
      </c>
      <c r="H8" s="8">
        <v>196</v>
      </c>
      <c r="I8" s="8" t="s">
        <v>3</v>
      </c>
      <c r="J8" s="9" t="s">
        <v>21</v>
      </c>
      <c r="K8" s="8">
        <f>'RO Exit Scenarios'!J7</f>
        <v>792</v>
      </c>
      <c r="L8" s="9" t="s">
        <v>22</v>
      </c>
      <c r="M8" s="8">
        <f>'RO Exit Scenarios'!L7</f>
        <v>797</v>
      </c>
      <c r="N8" s="6"/>
      <c r="O8" s="80"/>
      <c r="P8" s="35" t="s">
        <v>25</v>
      </c>
      <c r="Q8" s="119">
        <f t="shared" ref="Q8:U9" si="1">(D15)/$H$22</f>
        <v>1800.7966489999999</v>
      </c>
      <c r="R8" s="119">
        <f t="shared" si="1"/>
        <v>1839.6475190000001</v>
      </c>
      <c r="S8" s="119">
        <f t="shared" si="1"/>
        <v>1834.4624719999999</v>
      </c>
      <c r="T8" s="119">
        <f t="shared" si="1"/>
        <v>1847.4061730000001</v>
      </c>
      <c r="U8" s="119">
        <f t="shared" si="1"/>
        <v>1883.2942780000001</v>
      </c>
      <c r="V8" s="119">
        <f>'Demand scenarios'!G2</f>
        <v>1898.2112899892643</v>
      </c>
      <c r="W8" s="119">
        <f>'Demand scenarios'!H2</f>
        <v>1908.6483458556174</v>
      </c>
      <c r="X8" s="119">
        <f>'Demand scenarios'!I2</f>
        <v>1919.3223492909967</v>
      </c>
      <c r="Y8" s="119">
        <f>'Demand scenarios'!J2</f>
        <v>1930.2469996037726</v>
      </c>
      <c r="Z8" s="119">
        <f>'Demand scenarios'!K2</f>
        <v>1941.4357643457815</v>
      </c>
      <c r="AA8" s="119">
        <f>'Demand scenarios'!L2</f>
        <v>1952.9017464138828</v>
      </c>
      <c r="AB8" s="117">
        <f>'Demand scenarios'!M2</f>
        <v>1967.8315709693502</v>
      </c>
      <c r="AC8" s="117">
        <f>'Demand scenarios'!N2</f>
        <v>1983.1162118669401</v>
      </c>
      <c r="AD8" s="117">
        <f>'Demand scenarios'!O2</f>
        <v>1998.7681957843886</v>
      </c>
      <c r="AE8" s="117">
        <f>'Demand scenarios'!P2</f>
        <v>2014.7991307008524</v>
      </c>
      <c r="AF8" s="117">
        <f>'Demand scenarios'!Q2</f>
        <v>2031.2195766001705</v>
      </c>
      <c r="AG8" s="35"/>
      <c r="AH8" s="35"/>
      <c r="AI8" s="89">
        <v>2179.5062109483997</v>
      </c>
      <c r="AJ8" s="35"/>
      <c r="AK8" s="35"/>
    </row>
    <row r="9" spans="2:37" ht="12.5" customHeight="1" x14ac:dyDescent="0.35">
      <c r="B9" s="6"/>
      <c r="C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6"/>
      <c r="O9" s="80"/>
      <c r="P9" s="35" t="s">
        <v>26</v>
      </c>
      <c r="Q9" s="119">
        <f t="shared" si="1"/>
        <v>814.49919999999997</v>
      </c>
      <c r="R9" s="119">
        <f t="shared" si="1"/>
        <v>862.70349999999996</v>
      </c>
      <c r="S9" s="119">
        <f t="shared" si="1"/>
        <v>927.90340000000003</v>
      </c>
      <c r="T9" s="119">
        <f t="shared" si="1"/>
        <v>1008.8173</v>
      </c>
      <c r="U9" s="119">
        <f t="shared" si="1"/>
        <v>1110.3507999999999</v>
      </c>
      <c r="V9" s="119">
        <f>'Demand scenarios'!G3</f>
        <v>1195.8193695096302</v>
      </c>
      <c r="W9" s="119">
        <f>'Demand scenarios'!H3</f>
        <v>1284.7716964357874</v>
      </c>
      <c r="X9" s="119">
        <f>'Demand scenarios'!I3</f>
        <v>1380.4699880252401</v>
      </c>
      <c r="Y9" s="119">
        <f>'Demand scenarios'!J3</f>
        <v>1483.4432734666857</v>
      </c>
      <c r="Z9" s="119">
        <f>'Demand scenarios'!K3</f>
        <v>1594.2634588917383</v>
      </c>
      <c r="AA9" s="119">
        <f>'Demand scenarios'!L3</f>
        <v>1713.5487666550282</v>
      </c>
      <c r="AB9" s="117">
        <f>'Demand scenarios'!M3</f>
        <v>1844.9432313013963</v>
      </c>
      <c r="AC9" s="116">
        <f>'Demand scenarios'!N3</f>
        <v>1986.6540966647481</v>
      </c>
      <c r="AD9" s="116">
        <f>'Demand scenarios'!O3</f>
        <v>2139.5159639437811</v>
      </c>
      <c r="AE9" s="116">
        <f>'Demand scenarios'!P3</f>
        <v>2304.4318253181304</v>
      </c>
      <c r="AF9" s="116">
        <f>'Demand scenarios'!Q3</f>
        <v>2482.3784467368782</v>
      </c>
      <c r="AG9" s="35"/>
      <c r="AH9" s="35"/>
      <c r="AI9" s="89">
        <v>2663.6013678261497</v>
      </c>
      <c r="AJ9" s="35"/>
      <c r="AK9" s="35"/>
    </row>
    <row r="10" spans="2:37" x14ac:dyDescent="0.35">
      <c r="O10" s="80"/>
      <c r="P10" s="35" t="s">
        <v>24</v>
      </c>
      <c r="Q10" s="120"/>
      <c r="R10" s="120"/>
      <c r="S10" s="120"/>
      <c r="T10" s="120"/>
      <c r="U10" s="120"/>
      <c r="V10" s="119"/>
      <c r="W10" s="119"/>
      <c r="X10" s="119"/>
      <c r="Y10" s="119"/>
      <c r="Z10" s="119"/>
      <c r="AA10" s="119"/>
      <c r="AB10" s="117"/>
      <c r="AC10" s="116"/>
      <c r="AD10" s="116"/>
      <c r="AE10" s="116"/>
      <c r="AF10" s="116"/>
      <c r="AG10" s="35"/>
      <c r="AH10" s="35"/>
      <c r="AI10" s="89"/>
      <c r="AJ10" s="35"/>
      <c r="AK10" s="35"/>
    </row>
    <row r="11" spans="2:37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80"/>
      <c r="P11" s="35" t="s">
        <v>23</v>
      </c>
      <c r="Q11" s="119">
        <f>D17/$H$22</f>
        <v>1715.6224189183854</v>
      </c>
      <c r="R11" s="119">
        <f>E17/$H$22</f>
        <v>1711.0555446887893</v>
      </c>
      <c r="S11" s="119">
        <f>F17/$H$22</f>
        <v>1706.4886704591927</v>
      </c>
      <c r="T11" s="119">
        <f>G17/$H$22</f>
        <v>1701.9217962295961</v>
      </c>
      <c r="U11" s="119">
        <f>H17/$H$22</f>
        <v>1697.354922</v>
      </c>
      <c r="V11" s="119">
        <f>'Demand scenarios'!G5</f>
        <v>1685.2885064101126</v>
      </c>
      <c r="W11" s="119">
        <f>'Demand scenarios'!H5</f>
        <v>1669.286405989696</v>
      </c>
      <c r="X11" s="119">
        <f>'Demand scenarios'!I5</f>
        <v>1653.5909487571366</v>
      </c>
      <c r="Y11" s="119">
        <f>'Demand scenarios'!J5</f>
        <v>1638.2051303610647</v>
      </c>
      <c r="Z11" s="119">
        <f>'Demand scenarios'!K5</f>
        <v>1623.1312938175702</v>
      </c>
      <c r="AA11" s="119">
        <f>'Demand scenarios'!L5</f>
        <v>1608.371054601691</v>
      </c>
      <c r="AB11" s="117">
        <f>'Demand scenarios'!M5</f>
        <v>1593.9386682837405</v>
      </c>
      <c r="AC11" s="116">
        <f>'Demand scenarios'!N5</f>
        <v>1579.827522001824</v>
      </c>
      <c r="AD11" s="116">
        <f>'Demand scenarios'!O5</f>
        <v>1566.036098334944</v>
      </c>
      <c r="AE11" s="116">
        <f>'Demand scenarios'!P5</f>
        <v>1552.5618877602651</v>
      </c>
      <c r="AF11" s="116">
        <f>'Demand scenarios'!Q5</f>
        <v>1539.4013655658903</v>
      </c>
      <c r="AG11" s="35"/>
      <c r="AH11" s="35"/>
      <c r="AI11" s="89">
        <v>1423.5307529244453</v>
      </c>
      <c r="AJ11" s="35"/>
      <c r="AK11" s="35"/>
    </row>
    <row r="12" spans="2:37" ht="26" customHeight="1" x14ac:dyDescent="0.35">
      <c r="B12" s="1"/>
      <c r="C12" s="172" t="s">
        <v>8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"/>
      <c r="O12" s="80"/>
      <c r="P12" s="35" t="s">
        <v>63</v>
      </c>
      <c r="Q12" s="120">
        <f t="shared" ref="Q12:V12" si="2">D6</f>
        <v>4424</v>
      </c>
      <c r="R12" s="120">
        <f t="shared" si="2"/>
        <v>4503</v>
      </c>
      <c r="S12" s="120">
        <f t="shared" si="2"/>
        <v>4608</v>
      </c>
      <c r="T12" s="120">
        <f t="shared" si="2"/>
        <v>4649</v>
      </c>
      <c r="U12" s="120">
        <f t="shared" si="2"/>
        <v>4691</v>
      </c>
      <c r="V12" s="120">
        <f t="shared" si="2"/>
        <v>4718</v>
      </c>
      <c r="W12" s="119">
        <f>(($AA12/$V12)^(1/5))*V12</f>
        <v>4755.5960281308016</v>
      </c>
      <c r="X12" s="119">
        <f>(($AA12/$V12)^(1/5))*W12</f>
        <v>4793.4916453525766</v>
      </c>
      <c r="Y12" s="119">
        <f>(($AA12/$V12)^(1/5))*X12</f>
        <v>4831.6892389819623</v>
      </c>
      <c r="Z12" s="119">
        <f>(($AA12/$V12)^(1/5))*Y12</f>
        <v>4870.191215359253</v>
      </c>
      <c r="AA12" s="121">
        <f>K6</f>
        <v>4909</v>
      </c>
      <c r="AB12" s="117">
        <f>(($AF12/$AA12)^(1/5))*AA12</f>
        <v>4938.2493632340793</v>
      </c>
      <c r="AC12" s="116">
        <f>(($AF12/$AA12)^(1/5))*AB12</f>
        <v>4967.673003357464</v>
      </c>
      <c r="AD12" s="116">
        <f>(($AF12/$AA12)^(1/5))*AC12</f>
        <v>4997.2719587665761</v>
      </c>
      <c r="AE12" s="116">
        <f>(($AF12/$AA12)^(1/5))*AD12</f>
        <v>5027.0472740449304</v>
      </c>
      <c r="AF12" s="118">
        <f>M6</f>
        <v>5057</v>
      </c>
      <c r="AG12" s="35"/>
      <c r="AH12" s="35"/>
      <c r="AI12" s="85">
        <v>5057</v>
      </c>
      <c r="AJ12" s="35"/>
      <c r="AK12" s="35"/>
    </row>
    <row r="13" spans="2:37" x14ac:dyDescent="0.35">
      <c r="B13" s="1"/>
      <c r="C13" s="4"/>
      <c r="D13" s="179" t="s">
        <v>9</v>
      </c>
      <c r="E13" s="180"/>
      <c r="F13" s="180"/>
      <c r="G13" s="180"/>
      <c r="H13" s="180"/>
      <c r="I13" s="4"/>
      <c r="J13" s="4"/>
      <c r="K13" s="181" t="s">
        <v>7</v>
      </c>
      <c r="L13" s="182"/>
      <c r="M13" s="182"/>
      <c r="N13" s="1"/>
      <c r="O13" s="80"/>
      <c r="P13" s="35" t="s">
        <v>64</v>
      </c>
      <c r="Q13" s="120">
        <f>'RVU scenarios'!B2</f>
        <v>9789.5982547883941</v>
      </c>
      <c r="R13" s="120">
        <f>'RVU scenarios'!C2</f>
        <v>9801.0361174523405</v>
      </c>
      <c r="S13" s="120">
        <f>'RVU scenarios'!D2</f>
        <v>9698.0350313784566</v>
      </c>
      <c r="T13" s="120">
        <f>'RVU scenarios'!E2</f>
        <v>9804.5714545700066</v>
      </c>
      <c r="U13" s="120">
        <f>'RVU scenarios'!F2</f>
        <v>10000</v>
      </c>
      <c r="V13" s="120">
        <f>'RVU scenarios'!G2</f>
        <v>10143.014991994272</v>
      </c>
      <c r="W13" s="120">
        <f>'RVU scenarios'!H2</f>
        <v>10288.075312782057</v>
      </c>
      <c r="X13" s="120">
        <f>'RVU scenarios'!I2</f>
        <v>10435.210213631457</v>
      </c>
      <c r="Y13" s="120">
        <f>'RVU scenarios'!J2</f>
        <v>10584.449364147562</v>
      </c>
      <c r="Z13" s="120">
        <f>'RVU scenarios'!K2</f>
        <v>10735.822858255297</v>
      </c>
      <c r="AA13" s="120">
        <f>'RVU scenarios'!L2</f>
        <v>10889.361220267827</v>
      </c>
      <c r="AB13" s="121">
        <f>'RVU scenarios'!M2</f>
        <v>11045.095411041761</v>
      </c>
      <c r="AC13" s="118">
        <f>'RVU scenarios'!N2</f>
        <v>11203.056834220371</v>
      </c>
      <c r="AD13" s="118">
        <f>'RVU scenarios'!O2</f>
        <v>11363.277342566113</v>
      </c>
      <c r="AE13" s="118">
        <f>'RVU scenarios'!P2</f>
        <v>11525.789244383692</v>
      </c>
      <c r="AF13" s="118">
        <f>'RVU scenarios'!Q2</f>
        <v>11690.625310035006</v>
      </c>
      <c r="AG13" s="88">
        <f>AF12*AF13</f>
        <v>59119492.192847028</v>
      </c>
      <c r="AH13" s="35"/>
      <c r="AI13" s="85">
        <v>11106.094044533254</v>
      </c>
      <c r="AJ13" s="35"/>
      <c r="AK13" s="35"/>
    </row>
    <row r="14" spans="2:37" x14ac:dyDescent="0.35">
      <c r="B14" s="1"/>
      <c r="C14" s="14"/>
      <c r="D14" s="15">
        <v>2015</v>
      </c>
      <c r="E14" s="15">
        <v>2016</v>
      </c>
      <c r="F14" s="15">
        <v>2017</v>
      </c>
      <c r="G14" s="15">
        <v>2018</v>
      </c>
      <c r="H14" s="15">
        <v>2019</v>
      </c>
      <c r="I14" s="16"/>
      <c r="J14" s="16"/>
      <c r="K14" s="17">
        <v>2025</v>
      </c>
      <c r="L14" s="16"/>
      <c r="M14" s="17">
        <v>2030</v>
      </c>
      <c r="N14" s="1"/>
      <c r="O14" s="80"/>
      <c r="P14" s="35"/>
      <c r="Q14" s="35"/>
      <c r="R14" s="35"/>
      <c r="S14" s="35"/>
      <c r="T14" s="35"/>
      <c r="U14" s="35"/>
      <c r="V14" s="35"/>
      <c r="W14" s="35"/>
      <c r="X14" s="91"/>
      <c r="Y14" s="35"/>
      <c r="Z14" s="35"/>
      <c r="AA14" s="35">
        <f>(AA7/U7)^(1/6)-1</f>
        <v>1.9742195223084735E-2</v>
      </c>
      <c r="AB14" s="35"/>
      <c r="AC14" s="35"/>
      <c r="AD14" s="35"/>
      <c r="AE14" s="35"/>
      <c r="AF14" s="35">
        <f>(AF7/AA7)^(1/5)-1</f>
        <v>2.7904036162556656E-2</v>
      </c>
      <c r="AG14" s="35"/>
      <c r="AH14" s="35"/>
      <c r="AI14" s="35"/>
      <c r="AJ14" s="35"/>
      <c r="AK14" s="35"/>
    </row>
    <row r="15" spans="2:37" ht="18" customHeight="1" x14ac:dyDescent="0.35">
      <c r="B15" s="1"/>
      <c r="C15" s="10" t="s">
        <v>4</v>
      </c>
      <c r="D15" s="20">
        <v>18007966.489999998</v>
      </c>
      <c r="E15" s="20">
        <v>18396475.190000001</v>
      </c>
      <c r="F15" s="20">
        <v>18344624.719999999</v>
      </c>
      <c r="G15" s="20">
        <v>18474061.73</v>
      </c>
      <c r="H15" s="20">
        <v>18832942.780000001</v>
      </c>
      <c r="I15" s="11"/>
      <c r="J15" s="31">
        <f>(H15/D15)^(1/4)-1</f>
        <v>1.1261278432715294E-2</v>
      </c>
      <c r="K15" s="29">
        <f>'Demand scenarios'!L7</f>
        <v>19529017.464138828</v>
      </c>
      <c r="L15" s="13"/>
      <c r="M15" s="30">
        <f>'Demand scenarios'!Q7</f>
        <v>20312195.766001705</v>
      </c>
      <c r="N15" s="1"/>
      <c r="O15" s="80"/>
      <c r="P15" s="35"/>
      <c r="Q15" s="35"/>
      <c r="R15" s="35"/>
      <c r="S15" s="35"/>
      <c r="T15" s="35"/>
      <c r="U15" s="35"/>
      <c r="V15" s="35"/>
      <c r="W15" s="89">
        <v>4754.333333333333</v>
      </c>
      <c r="X15" s="89">
        <v>4790.6666666666661</v>
      </c>
      <c r="Y15" s="89">
        <v>4826.9999999999991</v>
      </c>
      <c r="Z15" s="89">
        <v>4863.3333333333321</v>
      </c>
      <c r="AA15" s="35"/>
      <c r="AB15" s="35"/>
      <c r="AC15" s="35"/>
      <c r="AD15" s="35"/>
      <c r="AE15" s="35"/>
      <c r="AF15" s="35">
        <f>AF13/U13</f>
        <v>1.1690625310035005</v>
      </c>
      <c r="AG15" s="90">
        <f>AF12*AF27</f>
        <v>3498715.3853438874</v>
      </c>
      <c r="AH15" s="35"/>
      <c r="AI15" s="35"/>
      <c r="AJ15" s="35"/>
      <c r="AK15" s="35"/>
    </row>
    <row r="16" spans="2:37" ht="18" customHeight="1" x14ac:dyDescent="0.35">
      <c r="B16" s="1"/>
      <c r="C16" s="10" t="s">
        <v>5</v>
      </c>
      <c r="D16" s="21">
        <f>ROUND(D15*('Public source data'!B3/'Public source data'!B2),0)</f>
        <v>8144992</v>
      </c>
      <c r="E16" s="21">
        <f>ROUND(E15*('Public source data'!C3/'Public source data'!C2),0)</f>
        <v>8627035</v>
      </c>
      <c r="F16" s="21">
        <f>ROUND(F15*('Public source data'!D3/'Public source data'!D2),0)</f>
        <v>9279034</v>
      </c>
      <c r="G16" s="21">
        <f>ROUND(G15*('Public source data'!E3/'Public source data'!E2),0)</f>
        <v>10088173</v>
      </c>
      <c r="H16" s="21">
        <f>ROUND(H15*('Public source data'!F3/'Public source data'!F2),0)</f>
        <v>11103508</v>
      </c>
      <c r="I16" s="11"/>
      <c r="J16" s="31">
        <f>(H16/D16)^(1/4)-1</f>
        <v>8.0543827781500266E-2</v>
      </c>
      <c r="K16" s="29">
        <f>'Demand scenarios'!L8</f>
        <v>17135487.666550282</v>
      </c>
      <c r="L16" s="13"/>
      <c r="M16" s="30">
        <f>'Demand scenarios'!Q8</f>
        <v>24823784.467368782</v>
      </c>
      <c r="N16" s="1"/>
      <c r="P16" s="35"/>
      <c r="Q16" s="35"/>
      <c r="R16" s="35"/>
      <c r="S16" s="35"/>
      <c r="T16" s="35"/>
      <c r="U16" s="111">
        <f>(U8+U9)/U7</f>
        <v>0.63816778469409507</v>
      </c>
      <c r="V16" s="111">
        <f t="shared" ref="V16:AF16" si="3">(V8+V9)/V7</f>
        <v>0.64737895756548036</v>
      </c>
      <c r="W16" s="111">
        <f t="shared" si="3"/>
        <v>0.65671659933743987</v>
      </c>
      <c r="X16" s="111">
        <f t="shared" si="3"/>
        <v>0.66616939306791167</v>
      </c>
      <c r="Y16" s="111">
        <f t="shared" si="3"/>
        <v>0.67572465390944036</v>
      </c>
      <c r="Z16" s="111">
        <f t="shared" si="3"/>
        <v>0.6853683623737008</v>
      </c>
      <c r="AA16" s="111">
        <f t="shared" si="3"/>
        <v>0.69508522061496791</v>
      </c>
      <c r="AB16" s="111">
        <f t="shared" si="3"/>
        <v>0.70519268739420116</v>
      </c>
      <c r="AC16" s="111">
        <f t="shared" si="3"/>
        <v>0.71532576409236004</v>
      </c>
      <c r="AD16" s="111">
        <f t="shared" si="3"/>
        <v>0.72546490598571567</v>
      </c>
      <c r="AE16" s="111">
        <f t="shared" si="3"/>
        <v>0.73558980552164832</v>
      </c>
      <c r="AF16" s="111">
        <f t="shared" si="3"/>
        <v>0.74567957690726028</v>
      </c>
      <c r="AG16" s="35"/>
      <c r="AH16" s="35"/>
      <c r="AI16" s="35"/>
      <c r="AJ16" s="35"/>
      <c r="AK16" s="35"/>
    </row>
    <row r="17" spans="2:37" ht="18" customHeight="1" x14ac:dyDescent="0.35">
      <c r="B17" s="1"/>
      <c r="C17" s="10" t="s">
        <v>6</v>
      </c>
      <c r="D17" s="20">
        <f>$H17*'Public source data'!B8</f>
        <v>17156224.189183854</v>
      </c>
      <c r="E17" s="20">
        <f>$H17*'Public source data'!C8</f>
        <v>17110555.446887892</v>
      </c>
      <c r="F17" s="20">
        <f>$H17*'Public source data'!D8</f>
        <v>17064886.704591926</v>
      </c>
      <c r="G17" s="20">
        <f>$H17*'Public source data'!E8</f>
        <v>17019217.962295961</v>
      </c>
      <c r="H17" s="20">
        <f>(H6*H19)-H16-H15</f>
        <v>16973549.219999999</v>
      </c>
      <c r="I17" s="87">
        <f>H18-D18</f>
        <v>3600817.3208161443</v>
      </c>
      <c r="J17" s="28"/>
      <c r="K17" s="29">
        <f>'Demand scenarios'!L10</f>
        <v>16083710.546016909</v>
      </c>
      <c r="L17" s="13"/>
      <c r="M17" s="30">
        <f>'Demand scenarios'!Q10</f>
        <v>15394013.655658903</v>
      </c>
      <c r="N17" s="1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2:37" ht="18" customHeight="1" x14ac:dyDescent="0.35">
      <c r="B18" s="1"/>
      <c r="C18" s="18" t="s">
        <v>11</v>
      </c>
      <c r="D18" s="20">
        <f>SUM(D15:D17)</f>
        <v>43309182.679183856</v>
      </c>
      <c r="E18" s="20">
        <f>SUM(E15:E17)</f>
        <v>44134065.636887893</v>
      </c>
      <c r="F18" s="20">
        <f>SUM(F15:F17)</f>
        <v>44688545.424591929</v>
      </c>
      <c r="G18" s="20">
        <f>SUM(G15:G17)</f>
        <v>45581452.692295961</v>
      </c>
      <c r="H18" s="20">
        <f>SUM(H15:H17)</f>
        <v>46910000</v>
      </c>
      <c r="I18" s="87">
        <f>H19-D19</f>
        <v>210.40174521160588</v>
      </c>
      <c r="J18" s="28"/>
      <c r="K18" s="20">
        <f>SUM(K15:K17)</f>
        <v>52748215.676706024</v>
      </c>
      <c r="L18" s="13"/>
      <c r="M18" s="20">
        <f>SUM(M15:M17)</f>
        <v>60529993.889029384</v>
      </c>
      <c r="N18" s="1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2:37" ht="18" customHeight="1" x14ac:dyDescent="0.35">
      <c r="B19" s="1"/>
      <c r="C19" s="18" t="s">
        <v>241</v>
      </c>
      <c r="D19" s="27">
        <f>D18/D6</f>
        <v>9789.5982547883941</v>
      </c>
      <c r="E19" s="27">
        <f>E18/E6</f>
        <v>9801.0361174523405</v>
      </c>
      <c r="F19" s="27">
        <f>F18/F6</f>
        <v>9698.0350313784566</v>
      </c>
      <c r="G19" s="27">
        <f>G18/G6</f>
        <v>9804.5714545700066</v>
      </c>
      <c r="H19" s="24">
        <f>H22</f>
        <v>10000</v>
      </c>
      <c r="I19" s="11">
        <f>H19/D19</f>
        <v>1.0214923779031169</v>
      </c>
      <c r="J19" s="11"/>
      <c r="K19" s="27">
        <f>K18/K6</f>
        <v>10745.205882400902</v>
      </c>
      <c r="L19" s="13"/>
      <c r="M19" s="27">
        <f>M18/M6</f>
        <v>11969.545953931063</v>
      </c>
      <c r="N19" s="1"/>
      <c r="P19" s="35">
        <f>M19/H19</f>
        <v>1.1969545953931062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2:37" ht="9.5" customHeight="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P20" s="35"/>
      <c r="Q20" s="35"/>
      <c r="R20" s="11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2:37" ht="18" customHeight="1" x14ac:dyDescent="0.35"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2:37" ht="15.5" x14ac:dyDescent="0.35">
      <c r="C22" s="173" t="s">
        <v>69</v>
      </c>
      <c r="D22" s="173"/>
      <c r="E22" s="173"/>
      <c r="F22" s="173"/>
      <c r="G22" s="173"/>
      <c r="H22" s="128">
        <f>'Balanced Output Detail'!H3</f>
        <v>10000</v>
      </c>
      <c r="J22" s="189" t="s">
        <v>70</v>
      </c>
      <c r="K22" s="189"/>
      <c r="L22" s="189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2:37" x14ac:dyDescent="0.35">
      <c r="D23" s="71"/>
      <c r="H23" s="71"/>
      <c r="J23" s="183" t="s">
        <v>4</v>
      </c>
      <c r="K23" s="183"/>
      <c r="L23" s="36">
        <f>U8*H22</f>
        <v>18832942.780000001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2:37" x14ac:dyDescent="0.35">
      <c r="H24" s="71">
        <f>(H15+H16)/H6</f>
        <v>6381.677846940951</v>
      </c>
      <c r="J24" s="184" t="s">
        <v>27</v>
      </c>
      <c r="K24" s="184"/>
      <c r="L24" s="37">
        <f>U9*H22</f>
        <v>11103508</v>
      </c>
    </row>
    <row r="25" spans="2:37" ht="15.5" x14ac:dyDescent="0.35">
      <c r="C25" s="41"/>
      <c r="J25" s="185" t="s">
        <v>6</v>
      </c>
      <c r="K25" s="185"/>
      <c r="L25" s="38">
        <f>U11*H22</f>
        <v>16973549.219999999</v>
      </c>
    </row>
    <row r="26" spans="2:37" ht="27.5" customHeight="1" x14ac:dyDescent="0.55000000000000004">
      <c r="C26" s="42" t="s">
        <v>34</v>
      </c>
      <c r="D26" s="34" t="str">
        <f>D27</f>
        <v>Trend accelerates to RVUs to second highest region (in 2030 average becomes equal to 2019 second highest region)</v>
      </c>
      <c r="E26" s="34" t="str">
        <f>D28</f>
        <v>Risk for exit by 2025 and by 2030 same as by 2020 (risk by years since anchor date, all in 5 year increments)</v>
      </c>
      <c r="R26" s="43"/>
      <c r="S26" s="44"/>
      <c r="T26" s="44"/>
      <c r="U26" s="45"/>
      <c r="V26" s="55">
        <v>2015</v>
      </c>
      <c r="W26" s="55">
        <v>2020</v>
      </c>
      <c r="X26" s="55">
        <v>2025</v>
      </c>
      <c r="Y26" s="55">
        <v>2030</v>
      </c>
      <c r="AC26" s="98">
        <v>0</v>
      </c>
      <c r="AD26" s="98">
        <v>-53.255802285767331</v>
      </c>
      <c r="AE26" s="98">
        <v>-346.47428921785325</v>
      </c>
      <c r="AF26" s="99">
        <v>-809.69678853835785</v>
      </c>
    </row>
    <row r="27" spans="2:37" ht="31" customHeight="1" x14ac:dyDescent="0.45">
      <c r="C27" s="52" t="s">
        <v>65</v>
      </c>
      <c r="D27" s="192" t="str">
        <f>'Balanced Output Detail'!D8</f>
        <v>Trend accelerates to RVUs to second highest region (in 2030 average becomes equal to 2019 second highest region)</v>
      </c>
      <c r="E27" s="193"/>
      <c r="F27" s="193"/>
      <c r="G27" s="193"/>
      <c r="H27" s="193"/>
      <c r="J27" s="47" t="str">
        <f>J23</f>
        <v>Medicare FFS</v>
      </c>
      <c r="K27" s="48">
        <f>L23/SUM(L$23:L$25)</f>
        <v>0.40146968194414839</v>
      </c>
      <c r="Q27" s="186" t="s">
        <v>68</v>
      </c>
      <c r="R27" s="187"/>
      <c r="S27" s="187"/>
      <c r="T27" s="187"/>
      <c r="U27" s="188"/>
      <c r="V27" s="53">
        <f>((Q6/Q7)-1)*D6</f>
        <v>0</v>
      </c>
      <c r="W27" s="53">
        <f>((V6/V7)-1)*I6</f>
        <v>6.0763340757998971</v>
      </c>
      <c r="X27" s="53">
        <f>((AA6/AA7)-1)*K6</f>
        <v>65.858073017267571</v>
      </c>
      <c r="Y27" s="54">
        <f>((AF6/AF7)-1)*M6</f>
        <v>-117.84086895285509</v>
      </c>
      <c r="AA27" s="74">
        <f>Y27/M6</f>
        <v>-2.3302525005508223E-2</v>
      </c>
      <c r="AC27" s="25">
        <f>V27-AC26</f>
        <v>0</v>
      </c>
      <c r="AD27" s="25">
        <f>W27-AD26</f>
        <v>59.33213636156723</v>
      </c>
      <c r="AE27" s="25">
        <f>X27-AE26</f>
        <v>412.33236223512085</v>
      </c>
      <c r="AF27" s="25">
        <f>Y27-AF26</f>
        <v>691.85591958550276</v>
      </c>
    </row>
    <row r="28" spans="2:37" ht="29" customHeight="1" x14ac:dyDescent="0.35">
      <c r="C28" s="52" t="s">
        <v>109</v>
      </c>
      <c r="D28" s="192" t="str">
        <f>'Balanced Output Detail'!D9</f>
        <v>Risk for exit by 2025 and by 2030 same as by 2020 (risk by years since anchor date, all in 5 year increments)</v>
      </c>
      <c r="E28" s="193"/>
      <c r="F28" s="193"/>
      <c r="G28" s="193"/>
      <c r="H28" s="193"/>
      <c r="I28" t="s">
        <v>12</v>
      </c>
      <c r="J28" t="str">
        <f>J24</f>
        <v>Managed Medicare</v>
      </c>
      <c r="K28" s="48">
        <f>L24/SUM(L$23:L$25)</f>
        <v>0.23669810274994671</v>
      </c>
      <c r="V28" s="177" t="s">
        <v>160</v>
      </c>
      <c r="W28" s="178"/>
      <c r="X28" s="178"/>
      <c r="Y28" s="178"/>
      <c r="AA28" s="74">
        <f>X27/K6</f>
        <v>1.3415781832810669E-2</v>
      </c>
      <c r="AB28" s="74">
        <f>AF13/H19</f>
        <v>1.1690625310035005</v>
      </c>
    </row>
    <row r="29" spans="2:37" x14ac:dyDescent="0.35">
      <c r="D29" s="51" t="s">
        <v>71</v>
      </c>
      <c r="J29" s="47" t="str">
        <f>J25</f>
        <v>All other</v>
      </c>
      <c r="K29" s="48">
        <f>L25/SUM(L$23:L$25)</f>
        <v>0.36183221530590493</v>
      </c>
    </row>
    <row r="30" spans="2:37" ht="27.5" customHeight="1" x14ac:dyDescent="0.55000000000000004">
      <c r="C30" s="42" t="s">
        <v>66</v>
      </c>
      <c r="D30" s="34"/>
      <c r="Q30" s="40"/>
      <c r="R30" s="25"/>
      <c r="S30" s="25"/>
      <c r="T30" s="25"/>
      <c r="U30" s="25"/>
      <c r="V30" s="25">
        <v>0</v>
      </c>
      <c r="W30" s="25">
        <v>16.992544472509664</v>
      </c>
      <c r="X30" s="25">
        <v>106.37179060139432</v>
      </c>
      <c r="Y30" s="25">
        <v>-61.463988475790082</v>
      </c>
    </row>
    <row r="31" spans="2:37" ht="30.5" customHeight="1" x14ac:dyDescent="0.35">
      <c r="C31" s="52" t="s">
        <v>244</v>
      </c>
      <c r="D31" s="191" t="str">
        <f>'Balanced Output Detail'!D12</f>
        <v xml:space="preserve">Medium </v>
      </c>
      <c r="E31" s="191"/>
      <c r="F31" s="191"/>
      <c r="G31" s="191"/>
      <c r="H31" s="191"/>
    </row>
    <row r="32" spans="2:37" ht="30.5" customHeight="1" x14ac:dyDescent="0.35">
      <c r="C32" s="52" t="s">
        <v>112</v>
      </c>
      <c r="D32" s="191" t="str">
        <f>'Balanced Output Detail'!D13</f>
        <v xml:space="preserve">Medium </v>
      </c>
      <c r="E32" s="191"/>
      <c r="F32" s="191"/>
      <c r="G32" s="191"/>
      <c r="H32" s="191"/>
    </row>
    <row r="33" spans="3:8" ht="30.5" customHeight="1" x14ac:dyDescent="0.35">
      <c r="C33" s="52" t="s">
        <v>113</v>
      </c>
      <c r="D33" s="191" t="str">
        <f>'Balanced Output Detail'!D14</f>
        <v xml:space="preserve">Medium </v>
      </c>
      <c r="E33" s="191"/>
      <c r="F33" s="191"/>
      <c r="G33" s="191"/>
      <c r="H33" s="191"/>
    </row>
    <row r="34" spans="3:8" ht="30.5" customHeight="1" x14ac:dyDescent="0.35">
      <c r="C34" s="52" t="s">
        <v>117</v>
      </c>
      <c r="D34" s="191" t="str">
        <f>'Balanced Output Detail'!D15</f>
        <v xml:space="preserve">Medium </v>
      </c>
      <c r="E34" s="191"/>
      <c r="F34" s="191"/>
      <c r="G34" s="191"/>
      <c r="H34" s="191"/>
    </row>
    <row r="35" spans="3:8" ht="30.5" customHeight="1" x14ac:dyDescent="0.35">
      <c r="C35" s="52" t="s">
        <v>110</v>
      </c>
      <c r="D35" s="191" t="str">
        <f>'Balanced Output Detail'!D16</f>
        <v>Mid-range: early breast cancer down 20%, prostate down 10%, all others down 3%</v>
      </c>
      <c r="E35" s="191"/>
      <c r="F35" s="191"/>
      <c r="G35" s="191"/>
      <c r="H35" s="191"/>
    </row>
    <row r="36" spans="3:8" ht="32" customHeight="1" x14ac:dyDescent="0.35">
      <c r="C36" s="52" t="s">
        <v>266</v>
      </c>
      <c r="D36" s="191" t="str">
        <f>'Balanced Output Detail'!D17</f>
        <v>10% of patients with metastatic cancer have new indication with 20 RVUs</v>
      </c>
      <c r="E36" s="191"/>
      <c r="F36" s="191"/>
      <c r="G36" s="191"/>
      <c r="H36" s="191"/>
    </row>
    <row r="37" spans="3:8" ht="32" customHeight="1" x14ac:dyDescent="0.35">
      <c r="C37" s="52" t="s">
        <v>267</v>
      </c>
      <c r="D37" s="191" t="str">
        <f>'Balanced Output Detail'!D18</f>
        <v>3% of patients with all cancers have new treatment with 20 RVUs</v>
      </c>
      <c r="E37" s="191"/>
      <c r="F37" s="191"/>
      <c r="G37" s="191"/>
      <c r="H37" s="191"/>
    </row>
    <row r="38" spans="3:8" ht="32" customHeight="1" x14ac:dyDescent="0.35">
      <c r="C38" s="52" t="s">
        <v>111</v>
      </c>
      <c r="D38" s="191" t="str">
        <f>'Balanced Output Detail'!D19</f>
        <v xml:space="preserve">No movement of demand not otherwise modeled </v>
      </c>
      <c r="E38" s="191"/>
      <c r="F38" s="191"/>
      <c r="G38" s="191"/>
      <c r="H38" s="191"/>
    </row>
    <row r="40" spans="3:8" ht="15.5" x14ac:dyDescent="0.35">
      <c r="C40" s="41"/>
    </row>
    <row r="49" spans="4:4" x14ac:dyDescent="0.35">
      <c r="D49" s="84" t="str">
        <f>D35</f>
        <v>Mid-range: early breast cancer down 20%, prostate down 10%, all others down 3%</v>
      </c>
    </row>
    <row r="50" spans="4:4" x14ac:dyDescent="0.35">
      <c r="D50" s="84" t="str">
        <f>D38</f>
        <v xml:space="preserve">No movement of demand not otherwise modeled </v>
      </c>
    </row>
    <row r="51" spans="4:4" x14ac:dyDescent="0.35">
      <c r="D51" s="84" t="str">
        <f>D36</f>
        <v>10% of patients with metastatic cancer have new indication with 20 RVUs</v>
      </c>
    </row>
    <row r="52" spans="4:4" x14ac:dyDescent="0.35">
      <c r="D52" s="84" t="str">
        <f>D37</f>
        <v>3% of patients with all cancers have new treatment with 20 RVUs</v>
      </c>
    </row>
  </sheetData>
  <mergeCells count="23">
    <mergeCell ref="D35:H35"/>
    <mergeCell ref="D27:H27"/>
    <mergeCell ref="D36:H36"/>
    <mergeCell ref="D38:H38"/>
    <mergeCell ref="D32:H32"/>
    <mergeCell ref="D33:H33"/>
    <mergeCell ref="D34:H34"/>
    <mergeCell ref="D28:H28"/>
    <mergeCell ref="D31:H31"/>
    <mergeCell ref="D37:H37"/>
    <mergeCell ref="V28:Y28"/>
    <mergeCell ref="C3:M3"/>
    <mergeCell ref="D4:I4"/>
    <mergeCell ref="K4:M4"/>
    <mergeCell ref="C12:M12"/>
    <mergeCell ref="D13:H13"/>
    <mergeCell ref="K13:M13"/>
    <mergeCell ref="Q27:U27"/>
    <mergeCell ref="J22:L22"/>
    <mergeCell ref="J23:K23"/>
    <mergeCell ref="J24:K24"/>
    <mergeCell ref="J25:K25"/>
    <mergeCell ref="C22:G2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426FF8D-012D-4695-8C71-4677DE56E09C}">
          <x14:formula1>
            <xm:f>Dropdowns!$A$4:$A$9</xm:f>
          </x14:formula1>
          <xm:sqref>H22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58B-E9DB-4159-96BB-1A6F212AA2FC}">
  <sheetPr>
    <tabColor theme="5" tint="0.39997558519241921"/>
  </sheetPr>
  <dimension ref="A1:T140"/>
  <sheetViews>
    <sheetView topLeftCell="A7" zoomScaleNormal="100" workbookViewId="0">
      <selection sqref="A1:XFD1048576"/>
    </sheetView>
  </sheetViews>
  <sheetFormatPr defaultRowHeight="14.5" x14ac:dyDescent="0.35"/>
  <cols>
    <col min="1" max="1" width="59.7265625" bestFit="1" customWidth="1"/>
    <col min="2" max="2" width="27.26953125" bestFit="1" customWidth="1"/>
    <col min="3" max="3" width="33.7265625" bestFit="1" customWidth="1"/>
    <col min="4" max="4" width="35.26953125" bestFit="1" customWidth="1"/>
    <col min="5" max="5" width="27.1796875" bestFit="1" customWidth="1"/>
    <col min="6" max="6" width="27" bestFit="1" customWidth="1"/>
    <col min="7" max="8" width="84.36328125" bestFit="1" customWidth="1"/>
    <col min="9" max="9" width="82.54296875" bestFit="1" customWidth="1"/>
    <col min="10" max="10" width="82.7265625" bestFit="1" customWidth="1"/>
    <col min="11" max="11" width="83.6328125" bestFit="1" customWidth="1"/>
    <col min="12" max="12" width="100.81640625" bestFit="1" customWidth="1"/>
    <col min="13" max="13" width="85.54296875" bestFit="1" customWidth="1"/>
    <col min="14" max="14" width="84.36328125" bestFit="1" customWidth="1"/>
    <col min="15" max="15" width="84.6328125" bestFit="1" customWidth="1"/>
    <col min="16" max="16" width="83.6328125" bestFit="1" customWidth="1"/>
    <col min="17" max="17" width="101.6328125" bestFit="1" customWidth="1"/>
    <col min="18" max="18" width="9.81640625" bestFit="1" customWidth="1"/>
    <col min="19" max="19" width="13.26953125" bestFit="1" customWidth="1"/>
    <col min="20" max="20" width="11.6328125" bestFit="1" customWidth="1"/>
  </cols>
  <sheetData>
    <row r="1" spans="1:20" x14ac:dyDescent="0.35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>
        <v>2023</v>
      </c>
      <c r="K1">
        <v>2024</v>
      </c>
      <c r="L1">
        <v>2025</v>
      </c>
      <c r="M1">
        <v>2026</v>
      </c>
      <c r="N1">
        <v>2027</v>
      </c>
      <c r="O1">
        <v>2028</v>
      </c>
      <c r="P1">
        <v>2029</v>
      </c>
      <c r="Q1">
        <v>2030</v>
      </c>
      <c r="S1" t="s">
        <v>250</v>
      </c>
    </row>
    <row r="2" spans="1:20" x14ac:dyDescent="0.35">
      <c r="A2" s="47" t="s">
        <v>25</v>
      </c>
      <c r="B2" s="50">
        <f>B7/'Base Output Fx'!$H$22</f>
        <v>1800.7966489999999</v>
      </c>
      <c r="C2" s="50">
        <f>C7/'Base Output Fx'!$H$22</f>
        <v>1839.6475190000001</v>
      </c>
      <c r="D2" s="50">
        <f>D7/'Base Output Fx'!$H$22</f>
        <v>1834.4624719999999</v>
      </c>
      <c r="E2" s="50">
        <f>E7/'Base Output Fx'!$H$22</f>
        <v>1847.4061730000001</v>
      </c>
      <c r="F2" s="50">
        <f>F7/'Base Output Fx'!$H$22</f>
        <v>1883.2942780000001</v>
      </c>
      <c r="G2" s="50">
        <f>G7/'Base Output Fx'!$H$22</f>
        <v>1898.2112899892643</v>
      </c>
      <c r="H2" s="50">
        <f>H7/'Base Output Fx'!$H$22</f>
        <v>1908.6483458556174</v>
      </c>
      <c r="I2" s="50">
        <f>I7/'Base Output Fx'!$H$22</f>
        <v>1919.3223492909967</v>
      </c>
      <c r="J2" s="50">
        <f>J7/'Base Output Fx'!$H$22</f>
        <v>1930.2469996037726</v>
      </c>
      <c r="K2" s="50">
        <f>K7/'Base Output Fx'!$H$22</f>
        <v>1941.4357643457815</v>
      </c>
      <c r="L2" s="50">
        <f>L7/'Base Output Fx'!$H$22</f>
        <v>1952.9017464138828</v>
      </c>
      <c r="M2" s="50">
        <f>M7/'Base Output Fx'!$H$22</f>
        <v>1967.8315709693502</v>
      </c>
      <c r="N2" s="50">
        <f>N7/'Base Output Fx'!$H$22</f>
        <v>1983.1162118669401</v>
      </c>
      <c r="O2" s="50">
        <f>O7/'Base Output Fx'!$H$22</f>
        <v>1998.7681957843886</v>
      </c>
      <c r="P2" s="50">
        <f>P7/'Base Output Fx'!$H$22</f>
        <v>2014.7991307008524</v>
      </c>
      <c r="Q2" s="50">
        <f>Q7/'Base Output Fx'!$H$22</f>
        <v>2031.2195766001705</v>
      </c>
      <c r="S2">
        <v>2021</v>
      </c>
      <c r="T2" s="25">
        <f>H7+H8</f>
        <v>31934200.422914051</v>
      </c>
    </row>
    <row r="3" spans="1:20" x14ac:dyDescent="0.35">
      <c r="A3" s="47" t="s">
        <v>26</v>
      </c>
      <c r="B3" s="50">
        <f>B8/'Base Output Fx'!$H$22</f>
        <v>814.49919999999997</v>
      </c>
      <c r="C3" s="50">
        <f>C8/'Base Output Fx'!$H$22</f>
        <v>862.70349999999996</v>
      </c>
      <c r="D3" s="50">
        <f>D8/'Base Output Fx'!$H$22</f>
        <v>927.90340000000003</v>
      </c>
      <c r="E3" s="50">
        <f>E8/'Base Output Fx'!$H$22</f>
        <v>1008.8173</v>
      </c>
      <c r="F3" s="50">
        <f>F8/'Base Output Fx'!$H$22</f>
        <v>1110.3507999999999</v>
      </c>
      <c r="G3" s="50">
        <f>G8/'Base Output Fx'!$H$22</f>
        <v>1195.8193695096302</v>
      </c>
      <c r="H3" s="50">
        <f>H8/'Base Output Fx'!$H$22</f>
        <v>1284.7716964357874</v>
      </c>
      <c r="I3" s="50">
        <f>I8/'Base Output Fx'!$H$22</f>
        <v>1380.4699880252401</v>
      </c>
      <c r="J3" s="50">
        <f>J8/'Base Output Fx'!$H$22</f>
        <v>1483.4432734666857</v>
      </c>
      <c r="K3" s="50">
        <f>K8/'Base Output Fx'!$H$22</f>
        <v>1594.2634588917383</v>
      </c>
      <c r="L3" s="50">
        <f>L8/'Base Output Fx'!$H$22</f>
        <v>1713.5487666550282</v>
      </c>
      <c r="M3" s="50">
        <f>M8/'Base Output Fx'!$H$22</f>
        <v>1844.9432313013963</v>
      </c>
      <c r="N3" s="50">
        <f>N8/'Base Output Fx'!$H$22</f>
        <v>1986.6540966647481</v>
      </c>
      <c r="O3" s="50">
        <f>O8/'Base Output Fx'!$H$22</f>
        <v>2139.5159639437811</v>
      </c>
      <c r="P3" s="50">
        <f>P8/'Base Output Fx'!$H$22</f>
        <v>2304.4318253181304</v>
      </c>
      <c r="Q3" s="50">
        <f>Q8/'Base Output Fx'!$H$22</f>
        <v>2482.3784467368782</v>
      </c>
      <c r="S3">
        <v>2030</v>
      </c>
      <c r="T3" s="25">
        <f>Q7+Q8</f>
        <v>45135980.233370483</v>
      </c>
    </row>
    <row r="4" spans="1:20" x14ac:dyDescent="0.35">
      <c r="A4" s="47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T4">
        <f>T3/T2</f>
        <v>1.413405679040695</v>
      </c>
    </row>
    <row r="5" spans="1:20" x14ac:dyDescent="0.35">
      <c r="A5" s="47" t="s">
        <v>23</v>
      </c>
      <c r="B5" s="50">
        <f>B10/'Base Output Fx'!$H$22</f>
        <v>1715.6224189183854</v>
      </c>
      <c r="C5" s="50">
        <f>C10/'Base Output Fx'!$H$22</f>
        <v>1711.0555446887893</v>
      </c>
      <c r="D5" s="50">
        <f>D10/'Base Output Fx'!$H$22</f>
        <v>1706.4886704591927</v>
      </c>
      <c r="E5" s="50">
        <f>E10/'Base Output Fx'!$H$22</f>
        <v>1701.9217962295961</v>
      </c>
      <c r="F5" s="50">
        <f>F10/'Base Output Fx'!$H$22</f>
        <v>1697.354922</v>
      </c>
      <c r="G5" s="50">
        <f>G10/'Base Output Fx'!$H$22</f>
        <v>1685.2885064101126</v>
      </c>
      <c r="H5" s="50">
        <f>H10/'Base Output Fx'!$H$22</f>
        <v>1669.286405989696</v>
      </c>
      <c r="I5" s="50">
        <f>I10/'Base Output Fx'!$H$22</f>
        <v>1653.5909487571366</v>
      </c>
      <c r="J5" s="50">
        <f>J10/'Base Output Fx'!$H$22</f>
        <v>1638.2051303610647</v>
      </c>
      <c r="K5" s="50">
        <f>K10/'Base Output Fx'!$H$22</f>
        <v>1623.1312938175702</v>
      </c>
      <c r="L5" s="50">
        <f>L10/'Base Output Fx'!$H$22</f>
        <v>1608.371054601691</v>
      </c>
      <c r="M5" s="50">
        <f>M10/'Base Output Fx'!$H$22</f>
        <v>1593.9386682837405</v>
      </c>
      <c r="N5" s="50">
        <f>N10/'Base Output Fx'!$H$22</f>
        <v>1579.827522001824</v>
      </c>
      <c r="O5" s="50">
        <f>O10/'Base Output Fx'!$H$22</f>
        <v>1566.036098334944</v>
      </c>
      <c r="P5" s="50">
        <f>P10/'Base Output Fx'!$H$22</f>
        <v>1552.5618877602651</v>
      </c>
      <c r="Q5" s="50">
        <f>Q10/'Base Output Fx'!$H$22</f>
        <v>1539.4013655658903</v>
      </c>
      <c r="S5" t="s">
        <v>251</v>
      </c>
      <c r="T5" s="25">
        <f>SUM(Q7:Q10)</f>
        <v>60529993.889029384</v>
      </c>
    </row>
    <row r="6" spans="1:20" x14ac:dyDescent="0.35">
      <c r="A6" s="47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49"/>
      <c r="N6" s="49"/>
      <c r="O6" s="49"/>
      <c r="P6" s="49"/>
      <c r="Q6" s="50"/>
      <c r="S6" t="s">
        <v>252</v>
      </c>
      <c r="T6">
        <f>'Base Output Fx'!AG13</f>
        <v>59119492.192847028</v>
      </c>
    </row>
    <row r="7" spans="1:20" x14ac:dyDescent="0.35">
      <c r="A7" s="47" t="s">
        <v>25</v>
      </c>
      <c r="B7" s="20">
        <v>18007966.489999998</v>
      </c>
      <c r="C7" s="20">
        <v>18396475.190000001</v>
      </c>
      <c r="D7" s="20">
        <v>18344624.719999999</v>
      </c>
      <c r="E7" s="20">
        <v>18474061.73</v>
      </c>
      <c r="F7" s="20">
        <v>18832942.780000001</v>
      </c>
      <c r="G7" s="50">
        <f t="shared" ref="G7:Q8" si="0">G12*G$105-(G$87*(G12/(SUM(G$12:G$15))))+(G$94*(G12/(SUM(G$12:G$15))))+(G$100*(G12/(SUM(G$12:G$15))))</f>
        <v>18982112.899892643</v>
      </c>
      <c r="H7" s="50">
        <f t="shared" si="0"/>
        <v>19086483.458556175</v>
      </c>
      <c r="I7" s="50">
        <f t="shared" si="0"/>
        <v>19193223.492909968</v>
      </c>
      <c r="J7" s="50">
        <f t="shared" si="0"/>
        <v>19302469.996037725</v>
      </c>
      <c r="K7" s="50">
        <f t="shared" si="0"/>
        <v>19414357.643457815</v>
      </c>
      <c r="L7" s="50">
        <f>L12*L$105-(L$87*(L12/(SUM(L$12:L$15))))+(L$94*(L12/(SUM(L$12:L$15))))+(L$100*(L12/(SUM(L$12:L$15))))</f>
        <v>19529017.464138828</v>
      </c>
      <c r="M7" s="50">
        <f t="shared" si="0"/>
        <v>19678315.709693503</v>
      </c>
      <c r="N7" s="50">
        <f t="shared" si="0"/>
        <v>19831162.118669402</v>
      </c>
      <c r="O7" s="50">
        <f t="shared" si="0"/>
        <v>19987681.957843885</v>
      </c>
      <c r="P7" s="50">
        <f t="shared" si="0"/>
        <v>20147991.307008523</v>
      </c>
      <c r="Q7" s="50">
        <f t="shared" si="0"/>
        <v>20312195.766001705</v>
      </c>
      <c r="T7" s="96">
        <f>T5/T6</f>
        <v>1.0238584880191683</v>
      </c>
    </row>
    <row r="8" spans="1:20" x14ac:dyDescent="0.35">
      <c r="A8" s="47" t="s">
        <v>26</v>
      </c>
      <c r="B8" s="21">
        <f>ROUND(B7*('Public source data'!B3/'Public source data'!B2),0)</f>
        <v>8144992</v>
      </c>
      <c r="C8" s="21">
        <f>ROUND(C7*('Public source data'!C3/'Public source data'!C2),0)</f>
        <v>8627035</v>
      </c>
      <c r="D8" s="21">
        <f>ROUND(D7*('Public source data'!D3/'Public source data'!D2),0)</f>
        <v>9279034</v>
      </c>
      <c r="E8" s="21">
        <f>ROUND(E7*('Public source data'!E3/'Public source data'!E2),0)</f>
        <v>10088173</v>
      </c>
      <c r="F8" s="21">
        <f>ROUND(F7*('Public source data'!F3/'Public source data'!F2),0)</f>
        <v>11103508</v>
      </c>
      <c r="G8" s="50">
        <f t="shared" si="0"/>
        <v>11958193.695096303</v>
      </c>
      <c r="H8" s="50">
        <f t="shared" si="0"/>
        <v>12847716.964357873</v>
      </c>
      <c r="I8" s="50">
        <f t="shared" si="0"/>
        <v>13804699.8802524</v>
      </c>
      <c r="J8" s="50">
        <f>J13*J$105-(J$87*(J13/(SUM(J$12:J$15))))+(J$94*(J13/(SUM(J$12:J$15))))+(J$100*(J13/(SUM(J$12:J$15))))</f>
        <v>14834432.734666858</v>
      </c>
      <c r="K8" s="50">
        <f t="shared" si="0"/>
        <v>15942634.588917384</v>
      </c>
      <c r="L8" s="50">
        <f>L13*L$105-(L$87*(L13/(SUM(L$12:L$15))))+(L$94*(L13/(SUM(L$12:L$15))))+(L$100*(L13/(SUM(L$12:L$15))))</f>
        <v>17135487.666550282</v>
      </c>
      <c r="M8" s="50">
        <f t="shared" si="0"/>
        <v>18449432.313013963</v>
      </c>
      <c r="N8" s="50">
        <f t="shared" si="0"/>
        <v>19866540.96664748</v>
      </c>
      <c r="O8" s="50">
        <f t="shared" si="0"/>
        <v>21395159.639437813</v>
      </c>
      <c r="P8" s="50">
        <f t="shared" si="0"/>
        <v>23044318.253181305</v>
      </c>
      <c r="Q8" s="50">
        <f t="shared" si="0"/>
        <v>24823784.467368782</v>
      </c>
      <c r="T8" s="25">
        <f>T5-T6</f>
        <v>1410501.6961823553</v>
      </c>
    </row>
    <row r="9" spans="1:20" x14ac:dyDescent="0.35">
      <c r="A9" s="47" t="s">
        <v>24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T9" s="71">
        <f>T8/'Base Output Fx'!AF13</f>
        <v>120.65237391293415</v>
      </c>
    </row>
    <row r="10" spans="1:20" x14ac:dyDescent="0.35">
      <c r="A10" s="47" t="s">
        <v>23</v>
      </c>
      <c r="B10" s="20">
        <f>$F10*'Public source data'!B8</f>
        <v>17156224.189183854</v>
      </c>
      <c r="C10" s="20">
        <f>$F10*'Public source data'!C8</f>
        <v>17110555.446887892</v>
      </c>
      <c r="D10" s="20">
        <f>$F10*'Public source data'!D8</f>
        <v>17064886.704591926</v>
      </c>
      <c r="E10" s="20">
        <f>$F10*'Public source data'!E8</f>
        <v>17019217.962295961</v>
      </c>
      <c r="F10" s="20">
        <f>('Base Output Fx'!H6*'Base Output Fx'!H22)-F8-F7</f>
        <v>16973549.219999999</v>
      </c>
      <c r="G10" s="50">
        <f t="shared" ref="G10:Q10" si="1">G15*G$105-(G$87*(G15/(SUM(G$12:G$15))))+(G$94*(G15/(SUM(G$12:G$15))))+(G$100*(G15/(SUM(G$12:G$15))))</f>
        <v>16852885.064101126</v>
      </c>
      <c r="H10" s="50">
        <f t="shared" si="1"/>
        <v>16692864.059896961</v>
      </c>
      <c r="I10" s="50">
        <f t="shared" si="1"/>
        <v>16535909.487571366</v>
      </c>
      <c r="J10" s="50">
        <f t="shared" si="1"/>
        <v>16382051.303610647</v>
      </c>
      <c r="K10" s="50">
        <f t="shared" si="1"/>
        <v>16231312.938175701</v>
      </c>
      <c r="L10" s="50">
        <f>L15*L$105-(L$87*(L15/(SUM(L$12:L$15))))+(L$94*(L15/(SUM(L$12:L$15))))+(L$100*(L15/(SUM(L$12:L$15))))</f>
        <v>16083710.546016909</v>
      </c>
      <c r="M10" s="50">
        <f t="shared" si="1"/>
        <v>15939386.682837404</v>
      </c>
      <c r="N10" s="50">
        <f t="shared" si="1"/>
        <v>15798275.22001824</v>
      </c>
      <c r="O10" s="50">
        <f t="shared" si="1"/>
        <v>15660360.983349439</v>
      </c>
      <c r="P10" s="50">
        <f t="shared" si="1"/>
        <v>15525618.877602652</v>
      </c>
      <c r="Q10" s="50">
        <f t="shared" si="1"/>
        <v>15394013.655658903</v>
      </c>
    </row>
    <row r="11" spans="1:20" x14ac:dyDescent="0.35">
      <c r="A11" s="47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49"/>
      <c r="N11" s="49"/>
      <c r="O11" s="49"/>
      <c r="P11" s="49"/>
      <c r="Q11" s="50"/>
      <c r="T11" s="25">
        <v>49100614.750185914</v>
      </c>
    </row>
    <row r="12" spans="1:20" x14ac:dyDescent="0.35">
      <c r="A12" s="47" t="s">
        <v>25</v>
      </c>
      <c r="B12" s="20">
        <v>18007966.489999998</v>
      </c>
      <c r="C12" s="20">
        <v>18396475.190000001</v>
      </c>
      <c r="D12" s="20">
        <v>18344624.719999999</v>
      </c>
      <c r="E12" s="20">
        <v>18474061.73</v>
      </c>
      <c r="F12" s="20">
        <v>18832942.780000001</v>
      </c>
      <c r="G12" s="50">
        <f t="shared" ref="G12:K13" si="2">F12*((1+(($L12/$F12)^(1/6)-1)))</f>
        <v>18982112.899892643</v>
      </c>
      <c r="H12" s="50">
        <f t="shared" si="2"/>
        <v>19132464.55179166</v>
      </c>
      <c r="I12" s="50">
        <f t="shared" si="2"/>
        <v>19284007.094259497</v>
      </c>
      <c r="J12" s="50">
        <f t="shared" si="2"/>
        <v>19436749.959984981</v>
      </c>
      <c r="K12" s="50">
        <f t="shared" si="2"/>
        <v>19590702.65637045</v>
      </c>
      <c r="L12" s="50">
        <f>F12*((1+((F12/B12)^(1/4)-1))^6)-(L18+L21+L24+L27)</f>
        <v>19745874.766123541</v>
      </c>
      <c r="M12" s="50">
        <f t="shared" ref="M12:P13" si="3">L12*((1+(($Q12/$L12)^(1/5)-1)))</f>
        <v>19934137.329787482</v>
      </c>
      <c r="N12" s="50">
        <f t="shared" si="3"/>
        <v>20124194.840157866</v>
      </c>
      <c r="O12" s="50">
        <f t="shared" si="3"/>
        <v>20316064.410746891</v>
      </c>
      <c r="P12" s="50">
        <f t="shared" si="3"/>
        <v>20509763.318231646</v>
      </c>
      <c r="Q12" s="50">
        <f>F12*((1+((F12/B12)^(1/4)-1))^11)-(Q18+Q21+Q24+Q27)</f>
        <v>20705309.004009798</v>
      </c>
      <c r="T12" s="25">
        <v>51722880.665428825</v>
      </c>
    </row>
    <row r="13" spans="1:20" x14ac:dyDescent="0.35">
      <c r="A13" s="47" t="s">
        <v>26</v>
      </c>
      <c r="B13" s="21">
        <f>ROUND(B7*('Public source data'!B3/'Public source data'!B2),0)</f>
        <v>8144992</v>
      </c>
      <c r="C13" s="21">
        <f>ROUND(C7*('Public source data'!C3/'Public source data'!C2),0)</f>
        <v>8627035</v>
      </c>
      <c r="D13" s="21">
        <f>ROUND(D7*('Public source data'!D3/'Public source data'!D2),0)</f>
        <v>9279034</v>
      </c>
      <c r="E13" s="21">
        <f>ROUND(E7*('Public source data'!E3/'Public source data'!E2),0)</f>
        <v>10088173</v>
      </c>
      <c r="F13" s="21">
        <f>ROUND(F7*('Public source data'!F3/'Public source data'!F2),0)</f>
        <v>11103508</v>
      </c>
      <c r="G13" s="50">
        <f t="shared" si="2"/>
        <v>11958193.695096303</v>
      </c>
      <c r="H13" s="50">
        <f t="shared" si="2"/>
        <v>12878668.295590993</v>
      </c>
      <c r="I13" s="50">
        <f t="shared" si="2"/>
        <v>13869995.861989999</v>
      </c>
      <c r="J13" s="50">
        <f t="shared" si="2"/>
        <v>14937630.257740222</v>
      </c>
      <c r="K13" s="50">
        <f t="shared" si="2"/>
        <v>16087445.154071027</v>
      </c>
      <c r="L13" s="50">
        <f>F8*((1+((F8/B8)^(1/4)-1))^6)-(L19+L22+L25+L28)</f>
        <v>17325766.344439942</v>
      </c>
      <c r="M13" s="50">
        <f t="shared" si="3"/>
        <v>18689278.229390051</v>
      </c>
      <c r="N13" s="50">
        <f t="shared" si="3"/>
        <v>20160096.45932021</v>
      </c>
      <c r="O13" s="50">
        <f t="shared" si="3"/>
        <v>21746665.883006632</v>
      </c>
      <c r="P13" s="50">
        <f t="shared" si="3"/>
        <v>23458095.946187314</v>
      </c>
      <c r="Q13" s="50">
        <f>F8*((1+((F8/B8)^(1/4)-1))^11)-(Q19+Q22+Q25+Q28)</f>
        <v>25304212.994348422</v>
      </c>
      <c r="T13" s="25">
        <f>T12-T11</f>
        <v>2622265.9152429104</v>
      </c>
    </row>
    <row r="14" spans="1:20" x14ac:dyDescent="0.35">
      <c r="A14" s="47" t="s">
        <v>24</v>
      </c>
      <c r="G14" s="47"/>
      <c r="H14" s="47"/>
      <c r="I14" s="47"/>
      <c r="J14" s="47"/>
      <c r="K14" s="47"/>
      <c r="L14" s="50"/>
      <c r="M14" s="47"/>
      <c r="N14" s="47"/>
      <c r="O14" s="47"/>
      <c r="P14" s="47"/>
      <c r="Q14" s="50"/>
      <c r="T14" s="25">
        <v>48164091.209027737</v>
      </c>
    </row>
    <row r="15" spans="1:20" x14ac:dyDescent="0.35">
      <c r="A15" s="47" t="s">
        <v>23</v>
      </c>
      <c r="B15" s="20">
        <f>$F10*'Public source data'!B8</f>
        <v>17156224.189183854</v>
      </c>
      <c r="C15" s="20">
        <f>$F10*'Public source data'!C8</f>
        <v>17110555.446887892</v>
      </c>
      <c r="D15" s="20">
        <f>$F10*'Public source data'!D8</f>
        <v>17064886.704591926</v>
      </c>
      <c r="E15" s="20">
        <f>$F10*'Public source data'!E8</f>
        <v>17019217.962295961</v>
      </c>
      <c r="F15" s="20">
        <f>('Base Output Fx'!H6*'Base Output Fx'!H22)-F8-F7</f>
        <v>16973549.219999999</v>
      </c>
      <c r="G15" s="50">
        <f>F15*((1+(($L15/$F15)^(1/6)-1)))</f>
        <v>16852885.064101126</v>
      </c>
      <c r="H15" s="50">
        <f>G15*((1+(($L15/$F15)^(1/6)-1)))</f>
        <v>16733078.703960234</v>
      </c>
      <c r="I15" s="50">
        <f>H15*((1+(($L15/$F15)^(1/6)-1)))</f>
        <v>16614124.041547988</v>
      </c>
      <c r="J15" s="50">
        <f>I15*((1+(($L15/$F15)^(1/6)-1)))</f>
        <v>16496015.022185652</v>
      </c>
      <c r="K15" s="50">
        <f>J15*((1+(($L15/$F15)^(1/6)-1)))</f>
        <v>16378745.634236915</v>
      </c>
      <c r="L15" s="50">
        <f>F10*'Public source data'!I8-(L20+L23+L26+L29)</f>
        <v>16262309.908801906</v>
      </c>
      <c r="M15" s="50">
        <f>L15*((1+(($Q15/$L15)^(1/5)-1)))</f>
        <v>16146601.557558578</v>
      </c>
      <c r="N15" s="50">
        <f>M15*((1+(($Q15/$L15)^(1/5)-1)))</f>
        <v>16031716.485580157</v>
      </c>
      <c r="O15" s="50">
        <f>N15*((1+(($Q15/$L15)^(1/5)-1)))</f>
        <v>15917648.835132606</v>
      </c>
      <c r="P15" s="50">
        <f>O15*((1+(($Q15/$L15)^(1/5)-1)))</f>
        <v>15804392.790160384</v>
      </c>
      <c r="Q15" s="50">
        <f>F10*'Public source data'!K8-(Q20+Q23+Q26+Q29)</f>
        <v>15691942.575989906</v>
      </c>
      <c r="T15" s="25">
        <f>T12-T14</f>
        <v>3558789.4564010873</v>
      </c>
    </row>
    <row r="16" spans="1:20" x14ac:dyDescent="0.35">
      <c r="A16" s="47"/>
      <c r="B16" s="50"/>
      <c r="C16" s="50"/>
      <c r="D16" s="50"/>
      <c r="E16" s="50"/>
      <c r="F16" s="50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3"/>
      <c r="T16" s="71">
        <f>T15/20</f>
        <v>177939.47282005436</v>
      </c>
    </row>
    <row r="17" spans="1:17" x14ac:dyDescent="0.35">
      <c r="A17" s="47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49"/>
      <c r="N17" s="49"/>
      <c r="O17" s="49"/>
      <c r="P17" s="49"/>
      <c r="Q17" s="50"/>
    </row>
    <row r="18" spans="1:17" x14ac:dyDescent="0.35">
      <c r="A18" t="s">
        <v>137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>
        <f>IF('Base Output Fx'!$D31='Demand scenarios'!$A35,'Demand scenarios'!L35,IF('Base Output Fx'!$D31='Demand scenarios'!$A36,'Demand scenarios'!L36,IF('Base Output Fx'!$D31='Demand scenarios'!$A37,'Demand scenarios'!L37,0)))</f>
        <v>69555.038158407391</v>
      </c>
      <c r="M18" s="26">
        <v>83169.611752243349</v>
      </c>
      <c r="N18" s="26"/>
      <c r="O18" s="26"/>
      <c r="P18" s="26"/>
      <c r="Q18" s="26">
        <f>IF('Base Output Fx'!$D31='Demand scenarios'!$A35,'Demand scenarios'!Q35,IF('Base Output Fx'!$D31='Demand scenarios'!$A36,'Demand scenarios'!Q36,IF('Base Output Fx'!$D31='Demand scenarios'!$A37,'Demand scenarios'!Q37,0)))</f>
        <v>112445.97734994612</v>
      </c>
    </row>
    <row r="19" spans="1:17" x14ac:dyDescent="0.35">
      <c r="A19" s="47" t="s">
        <v>138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>
        <f>IF('Base Output Fx'!$D31='Demand scenarios'!$A39,'Demand scenarios'!L39,IF('Base Output Fx'!$D31='Demand scenarios'!$A40,'Demand scenarios'!L40,IF('Base Output Fx'!$D31='Demand scenarios'!$A41,'Demand scenarios'!L41,0)))</f>
        <v>61030.182429732457</v>
      </c>
      <c r="M19" s="26">
        <v>72976.116644339621</v>
      </c>
      <c r="N19" s="26"/>
      <c r="O19" s="26"/>
      <c r="P19" s="26"/>
      <c r="Q19" s="26">
        <f>IF('Base Output Fx'!$D31='Demand scenarios'!$A39,'Demand scenarios'!Q39,IF('Base Output Fx'!$D31='Demand scenarios'!$A40,'Demand scenarios'!Q40,IF('Base Output Fx'!$D31='Demand scenarios'!$A41,'Demand scenarios'!Q41,0)))</f>
        <v>137421.61301092786</v>
      </c>
    </row>
    <row r="20" spans="1:17" x14ac:dyDescent="0.35">
      <c r="A20" t="s">
        <v>139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>
        <f>IF('Base Output Fx'!$D31='Demand scenarios'!$A43,'Demand scenarios'!L43,IF('Base Output Fx'!$D31='Demand scenarios'!$A44,'Demand scenarios'!L44,IF('Base Output Fx'!$D31='Demand scenarios'!$A45,'Demand scenarios'!L45,0)))</f>
        <v>70937.462495511892</v>
      </c>
      <c r="M20" s="26">
        <v>73101.36375199852</v>
      </c>
      <c r="N20" s="26"/>
      <c r="O20" s="26"/>
      <c r="P20" s="26"/>
      <c r="Q20" s="26">
        <f>IF('Base Output Fx'!$D31='Demand scenarios'!$A43,'Demand scenarios'!Q43,IF('Base Output Fx'!$D31='Demand scenarios'!$A44,'Demand scenarios'!Q44,IF('Base Output Fx'!$D31='Demand scenarios'!$A45,'Demand scenarios'!Q45,0)))</f>
        <v>135734.90736729102</v>
      </c>
    </row>
    <row r="21" spans="1:17" x14ac:dyDescent="0.35">
      <c r="A21" t="s">
        <v>140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>
        <f>IF('Base Output Fx'!$D$32='Demand scenarios'!$A48,'Demand scenarios'!L48,IF('Base Output Fx'!$D$32='Demand scenarios'!$A49,'Demand scenarios'!L49,IF('Base Output Fx'!$D$32='Demand scenarios'!$A50,'Demand scenarios'!L50,0)))</f>
        <v>101649.53357811156</v>
      </c>
      <c r="M21" s="26">
        <v>149545.8428027241</v>
      </c>
      <c r="N21" s="26"/>
      <c r="O21" s="26"/>
      <c r="P21" s="26"/>
      <c r="Q21" s="26">
        <f>IF('Base Output Fx'!$D$32='Demand scenarios'!$A48,'Demand scenarios'!Q48,IF('Base Output Fx'!$D$32='Demand scenarios'!$A49,'Demand scenarios'!Q49,IF('Base Output Fx'!$D$32='Demand scenarios'!$A50,'Demand scenarios'!Q50,0)))</f>
        <v>159046.94276304639</v>
      </c>
    </row>
    <row r="22" spans="1:17" x14ac:dyDescent="0.35">
      <c r="A22" s="47" t="s">
        <v>141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>
        <f>IF('Base Output Fx'!$D$32='Demand scenarios'!$A52,'Demand scenarios'!L52,IF('Base Output Fx'!$D$32='Demand scenarios'!$A53,'Demand scenarios'!L53,IF('Base Output Fx'!$D$32='Demand scenarios'!$A54,'Demand scenarios'!L54,0)))</f>
        <v>89191.08870360814</v>
      </c>
      <c r="M22" s="26">
        <v>131217.09526019648</v>
      </c>
      <c r="N22" s="26"/>
      <c r="O22" s="26"/>
      <c r="P22" s="26"/>
      <c r="Q22" s="26">
        <f>IF('Base Output Fx'!$D$32='Demand scenarios'!$A52,'Demand scenarios'!Q52,IF('Base Output Fx'!$D$32='Demand scenarios'!$A53,'Demand scenarios'!Q53,IF('Base Output Fx'!$D$32='Demand scenarios'!$A54,'Demand scenarios'!Q54,0)))</f>
        <v>194373.22645108416</v>
      </c>
    </row>
    <row r="23" spans="1:17" x14ac:dyDescent="0.35">
      <c r="A23" t="s">
        <v>142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>
        <f>IF('Base Output Fx'!$D$32='Demand scenarios'!$A56,'Demand scenarios'!L56,IF('Base Output Fx'!$D$32='Demand scenarios'!$A57,'Demand scenarios'!L57,IF('Base Output Fx'!$D$32='Demand scenarios'!$A58,'Demand scenarios'!L58,0)))</f>
        <v>143173.7744102999</v>
      </c>
      <c r="M23" s="26">
        <v>181529.06782853621</v>
      </c>
      <c r="N23" s="26"/>
      <c r="O23" s="26"/>
      <c r="P23" s="26"/>
      <c r="Q23" s="26">
        <f>IF('Base Output Fx'!$D$32='Demand scenarios'!$A56,'Demand scenarios'!Q56,IF('Base Output Fx'!$D$32='Demand scenarios'!$A57,'Demand scenarios'!Q57,IF('Base Output Fx'!$D$32='Demand scenarios'!$A58,'Demand scenarios'!Q58,0)))</f>
        <v>265145.32898775226</v>
      </c>
    </row>
    <row r="24" spans="1:17" x14ac:dyDescent="0.35">
      <c r="A24" t="s">
        <v>149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>
        <f>IF('Base Output Fx'!$D$33='Demand scenarios'!$A61,'Demand scenarios'!L61,IF('Base Output Fx'!$D$33='Demand scenarios'!$A62,'Demand scenarios'!L62,IF('Base Output Fx'!$D$33='Demand scenarios'!$A63,'Demand scenarios'!L63,0)))</f>
        <v>37140.24161190696</v>
      </c>
      <c r="M24" s="26">
        <v>45418.825762931854</v>
      </c>
      <c r="N24" s="26"/>
      <c r="O24" s="26"/>
      <c r="P24" s="26"/>
      <c r="Q24" s="26">
        <f>IF('Base Output Fx'!$D$33='Demand scenarios'!$A61,'Demand scenarios'!Q61,IF('Base Output Fx'!$D$33='Demand scenarios'!$A62,'Demand scenarios'!Q62,IF('Base Output Fx'!$D$33='Demand scenarios'!$A63,'Demand scenarios'!Q63,0)))</f>
        <v>52875.736873382928</v>
      </c>
    </row>
    <row r="25" spans="1:17" x14ac:dyDescent="0.35">
      <c r="A25" s="47" t="s">
        <v>150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>
        <f>IF('Base Output Fx'!$D$33='Demand scenarios'!$A65,'Demand scenarios'!L65,IF('Base Output Fx'!$D$33='Demand scenarios'!$A66,'Demand scenarios'!L66,IF('Base Output Fx'!$D$33='Demand scenarios'!$A67,'Demand scenarios'!L67,0)))</f>
        <v>32588.232011271502</v>
      </c>
      <c r="M25" s="26">
        <v>39852.170244563516</v>
      </c>
      <c r="N25" s="26"/>
      <c r="O25" s="26"/>
      <c r="P25" s="26"/>
      <c r="Q25" s="26">
        <f>IF('Base Output Fx'!$D$33='Demand scenarios'!$A65,'Demand scenarios'!Q65,IF('Base Output Fx'!$D$33='Demand scenarios'!$A66,'Demand scenarios'!Q66,IF('Base Output Fx'!$D$33='Demand scenarios'!$A67,'Demand scenarios'!Q67,0)))</f>
        <v>64620.088877596114</v>
      </c>
    </row>
    <row r="26" spans="1:17" x14ac:dyDescent="0.35">
      <c r="A26" t="s">
        <v>151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>
        <f>IF('Base Output Fx'!$D$33='Demand scenarios'!$A69,'Demand scenarios'!L69,IF('Base Output Fx'!$D$33='Demand scenarios'!$A70,'Demand scenarios'!L70,IF('Base Output Fx'!$D$33='Demand scenarios'!$A71,'Demand scenarios'!L71,0)))</f>
        <v>10420.735332659642</v>
      </c>
      <c r="M26" s="26">
        <v>10982.552599867931</v>
      </c>
      <c r="N26" s="26"/>
      <c r="O26" s="26"/>
      <c r="P26" s="26"/>
      <c r="Q26" s="26">
        <f>IF('Base Output Fx'!$D$33='Demand scenarios'!$A69,'Demand scenarios'!Q69,IF('Base Output Fx'!$D$33='Demand scenarios'!$A70,'Demand scenarios'!Q70,IF('Base Output Fx'!$D$33='Demand scenarios'!$A71,'Demand scenarios'!Q71,0)))</f>
        <v>17559.439339802888</v>
      </c>
    </row>
    <row r="27" spans="1:17" x14ac:dyDescent="0.35">
      <c r="A27" t="s">
        <v>247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>
        <f>IF('Base Output Fx'!$D$34='Demand scenarios'!$A75,'Demand scenarios'!L75,IF('Base Output Fx'!$D$34='Demand scenarios'!$A76,'Demand scenarios'!L76,IF('Base Output Fx'!$D$34='Demand scenarios'!$A77,'Demand scenarios'!L77,0)))</f>
        <v>187588.63817483556</v>
      </c>
      <c r="M27" s="26">
        <v>289434.59724434587</v>
      </c>
      <c r="N27" s="26"/>
      <c r="O27" s="26"/>
      <c r="P27" s="26"/>
      <c r="Q27" s="26">
        <f>IF('Base Output Fx'!$D$34='Demand scenarios'!$A75,'Demand scenarios'!Q75,IF('Base Output Fx'!$D$34='Demand scenarios'!$A76,'Demand scenarios'!Q76,IF('Base Output Fx'!$D$34='Demand scenarios'!$A77,'Demand scenarios'!Q77,0)))</f>
        <v>272075.49490446865</v>
      </c>
    </row>
    <row r="28" spans="1:17" x14ac:dyDescent="0.35">
      <c r="A28" s="47" t="s">
        <v>248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>
        <f>IF('Base Output Fx'!$D$34='Demand scenarios'!$A79,'Demand scenarios'!L79,IF('Base Output Fx'!$D$34='Demand scenarios'!$A80,'Demand scenarios'!L80,IF('Base Output Fx'!$D$34='Demand scenarios'!$A81,'Demand scenarios'!L81,0)))</f>
        <v>164597.26157409136</v>
      </c>
      <c r="M28" s="26">
        <v>253960.70132359519</v>
      </c>
      <c r="N28" s="26"/>
      <c r="O28" s="26"/>
      <c r="P28" s="26"/>
      <c r="Q28" s="26">
        <f>IF('Base Output Fx'!$D$34='Demand scenarios'!$A79,'Demand scenarios'!Q79,IF('Base Output Fx'!$D$34='Demand scenarios'!$A80,'Demand scenarios'!Q80,IF('Base Output Fx'!$D$34='Demand scenarios'!$A81,'Demand scenarios'!Q81,0)))</f>
        <v>332506.81128555711</v>
      </c>
    </row>
    <row r="29" spans="1:17" x14ac:dyDescent="0.35">
      <c r="A29" t="s">
        <v>249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>
        <f>IF('Base Output Fx'!$D$34='Demand scenarios'!$A83,'Demand scenarios'!L83,IF('Base Output Fx'!$D$34='Demand scenarios'!$A84,'Demand scenarios'!L84,IF('Base Output Fx'!$D$34='Demand scenarios'!$A85,'Demand scenarios'!L85,0)))</f>
        <v>227917.79928248984</v>
      </c>
      <c r="M29" s="26">
        <v>303065.08367072255</v>
      </c>
      <c r="N29" s="26"/>
      <c r="O29" s="26"/>
      <c r="P29" s="26"/>
      <c r="Q29" s="26">
        <f>IF('Base Output Fx'!$D$34='Demand scenarios'!$A83,'Demand scenarios'!Q83,IF('Base Output Fx'!$D$34='Demand scenarios'!$A84,'Demand scenarios'!Q84,IF('Base Output Fx'!$D$34='Demand scenarios'!$A85,'Demand scenarios'!Q85,0)))</f>
        <v>391256.63125695015</v>
      </c>
    </row>
    <row r="31" spans="1:17" x14ac:dyDescent="0.35">
      <c r="B31">
        <v>2015</v>
      </c>
      <c r="C31">
        <v>2016</v>
      </c>
      <c r="D31">
        <v>2017</v>
      </c>
      <c r="E31">
        <v>2018</v>
      </c>
      <c r="F31">
        <v>2019</v>
      </c>
      <c r="G31">
        <v>2020</v>
      </c>
      <c r="H31">
        <v>2021</v>
      </c>
      <c r="I31">
        <v>2022</v>
      </c>
      <c r="J31">
        <v>2023</v>
      </c>
      <c r="K31">
        <v>2024</v>
      </c>
      <c r="L31">
        <v>2025</v>
      </c>
      <c r="M31">
        <v>2026</v>
      </c>
      <c r="N31">
        <v>2027</v>
      </c>
      <c r="O31">
        <v>2028</v>
      </c>
      <c r="P31">
        <v>2029</v>
      </c>
      <c r="Q31">
        <v>2030</v>
      </c>
    </row>
    <row r="32" spans="1:17" x14ac:dyDescent="0.35">
      <c r="A32" t="s">
        <v>135</v>
      </c>
      <c r="L32" s="79">
        <f>'Base Output Fx'!H15*((1+'Base Output Fx'!J15)^6)/('Base Output Fx'!H16*((1+'Base Output Fx'!J16)^6)+'Base Output Fx'!H15*((1+'Base Output Fx'!J15)^6))</f>
        <v>0.53264096691141627</v>
      </c>
      <c r="Q32" s="79">
        <f>'Base Output Fx'!H15*((1+'Base Output Fx'!J15)^11)/('Base Output Fx'!H16*((1+'Base Output Fx'!J16)^11)+'Base Output Fx'!H15*((1+'Base Output Fx'!J15)^11))</f>
        <v>0.45002225853919187</v>
      </c>
    </row>
    <row r="33" spans="1:17" x14ac:dyDescent="0.35">
      <c r="L33" s="71"/>
    </row>
    <row r="34" spans="1:17" x14ac:dyDescent="0.35">
      <c r="A34" t="s">
        <v>131</v>
      </c>
    </row>
    <row r="35" spans="1:17" x14ac:dyDescent="0.35">
      <c r="A35" t="s">
        <v>114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>
        <f>'77427 data'!F34*('77427 data'!$C34/'77427 data'!$D34)*L$32</f>
        <v>55940.464564571492</v>
      </c>
      <c r="M35" s="26"/>
      <c r="N35" s="26"/>
      <c r="O35" s="26"/>
      <c r="P35" s="26"/>
      <c r="Q35" s="26">
        <f>'77427 data'!I34*('77427 data'!$C34/'77427 data'!$D34)*Q$32</f>
        <v>89440.382443217779</v>
      </c>
    </row>
    <row r="36" spans="1:17" x14ac:dyDescent="0.35">
      <c r="A36" t="s">
        <v>115</v>
      </c>
      <c r="B36" s="32"/>
      <c r="C36" s="32"/>
      <c r="D36" s="32"/>
      <c r="E36" s="32"/>
      <c r="F36" s="26"/>
      <c r="G36" s="32"/>
      <c r="H36" s="32"/>
      <c r="I36" s="32"/>
      <c r="J36" s="32"/>
      <c r="K36" s="32"/>
      <c r="L36" s="32">
        <f>'77427 data'!G34*('77427 data'!$C34/'77427 data'!$D34)*L$32</f>
        <v>69555.038158407391</v>
      </c>
      <c r="M36" s="32"/>
      <c r="N36" s="32"/>
      <c r="O36" s="32"/>
      <c r="P36" s="32"/>
      <c r="Q36" s="32">
        <f>'77427 data'!J34*('77427 data'!$C34/'77427 data'!$D34)*Q$32</f>
        <v>112445.97734994612</v>
      </c>
    </row>
    <row r="37" spans="1:17" x14ac:dyDescent="0.35">
      <c r="A37" t="s">
        <v>116</v>
      </c>
      <c r="B37" s="32"/>
      <c r="C37" s="32"/>
      <c r="D37" s="32"/>
      <c r="E37" s="32"/>
      <c r="F37" s="26"/>
      <c r="G37" s="32"/>
      <c r="H37" s="32"/>
      <c r="I37" s="32"/>
      <c r="J37" s="32"/>
      <c r="K37" s="32"/>
      <c r="L37" s="32">
        <f>'77427 data'!H34*('77427 data'!$C34/'77427 data'!$D34)*L$32</f>
        <v>83169.611752243349</v>
      </c>
      <c r="M37" s="32"/>
      <c r="N37" s="32"/>
      <c r="O37" s="32"/>
      <c r="P37" s="32"/>
      <c r="Q37" s="32">
        <f>'77427 data'!K34*('77427 data'!$C34/'77427 data'!$D34)*Q$32</f>
        <v>135451.5722566745</v>
      </c>
    </row>
    <row r="38" spans="1:17" x14ac:dyDescent="0.35">
      <c r="A38" t="s">
        <v>132</v>
      </c>
      <c r="F38" s="26"/>
    </row>
    <row r="39" spans="1:17" x14ac:dyDescent="0.35">
      <c r="A39" t="s">
        <v>114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>
        <f>'77427 data'!F34*('77427 data'!$C34/'77427 data'!$D34)*(1-L$32)</f>
        <v>49084.248215125335</v>
      </c>
      <c r="M39" s="26"/>
      <c r="N39" s="26"/>
      <c r="O39" s="26"/>
      <c r="P39" s="26"/>
      <c r="Q39" s="32">
        <f>'77427 data'!I34*('77427 data'!$C34/'77427 data'!$D34)*(1-Q$32)</f>
        <v>109306.19230077021</v>
      </c>
    </row>
    <row r="40" spans="1:17" x14ac:dyDescent="0.35">
      <c r="A40" t="s">
        <v>115</v>
      </c>
      <c r="B40" s="32"/>
      <c r="C40" s="32"/>
      <c r="D40" s="32"/>
      <c r="E40" s="32"/>
      <c r="F40" s="26"/>
      <c r="G40" s="32"/>
      <c r="H40" s="32"/>
      <c r="I40" s="32"/>
      <c r="J40" s="32"/>
      <c r="K40" s="32"/>
      <c r="L40" s="32">
        <f>'77427 data'!G34*('77427 data'!$C34/'77427 data'!$D34)*(1-L$32)</f>
        <v>61030.182429732457</v>
      </c>
      <c r="M40" s="32"/>
      <c r="N40" s="32"/>
      <c r="O40" s="32"/>
      <c r="P40" s="32"/>
      <c r="Q40" s="32">
        <f>'77427 data'!J34*('77427 data'!$C34/'77427 data'!$D34)*(1-Q$32)</f>
        <v>137421.61301092786</v>
      </c>
    </row>
    <row r="41" spans="1:17" x14ac:dyDescent="0.35">
      <c r="A41" t="s">
        <v>116</v>
      </c>
      <c r="B41" s="32"/>
      <c r="C41" s="32"/>
      <c r="D41" s="32"/>
      <c r="E41" s="32"/>
      <c r="F41" s="26"/>
      <c r="G41" s="32"/>
      <c r="H41" s="32"/>
      <c r="I41" s="32"/>
      <c r="J41" s="32"/>
      <c r="K41" s="32"/>
      <c r="L41" s="32">
        <f>'77427 data'!H34*('77427 data'!$C34/'77427 data'!$D34)*(1-L$32)</f>
        <v>72976.116644339621</v>
      </c>
      <c r="M41" s="32"/>
      <c r="N41" s="32"/>
      <c r="O41" s="32"/>
      <c r="P41" s="32"/>
      <c r="Q41" s="32">
        <f>'77427 data'!K34*('77427 data'!$C34/'77427 data'!$D34)*(1-Q$32)</f>
        <v>165537.03372108561</v>
      </c>
    </row>
    <row r="42" spans="1:17" x14ac:dyDescent="0.35">
      <c r="A42" t="s">
        <v>136</v>
      </c>
      <c r="F42" s="26"/>
    </row>
    <row r="43" spans="1:17" x14ac:dyDescent="0.35">
      <c r="A43" t="s">
        <v>114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>
        <f>'77427 data'!F34*(   ('77427 data'!$D34 -  '77427 data'!$C34)     /'77427 data'!$D34)</f>
        <v>57052.295737273504</v>
      </c>
      <c r="M43" s="26"/>
      <c r="N43" s="26"/>
      <c r="O43" s="26"/>
      <c r="P43" s="26"/>
      <c r="Q43" s="26">
        <f>'77427 data'!I34*(   ('77427 data'!$D34 -  '77427 data'!$C34)     /'77427 data'!$D34)</f>
        <v>107964.57385081428</v>
      </c>
    </row>
    <row r="44" spans="1:17" x14ac:dyDescent="0.35">
      <c r="A44" t="s">
        <v>115</v>
      </c>
      <c r="B44" s="32"/>
      <c r="C44" s="32"/>
      <c r="D44" s="32"/>
      <c r="E44" s="32"/>
      <c r="F44" s="26"/>
      <c r="G44" s="32"/>
      <c r="H44" s="32"/>
      <c r="I44" s="32"/>
      <c r="J44" s="32"/>
      <c r="K44" s="32"/>
      <c r="L44" s="32">
        <f>'77427 data'!G34*(   ('77427 data'!$D34 -  '77427 data'!$C34)     /'77427 data'!$D34)</f>
        <v>70937.462495511892</v>
      </c>
      <c r="M44" s="32"/>
      <c r="N44" s="32"/>
      <c r="O44" s="32"/>
      <c r="P44" s="32"/>
      <c r="Q44" s="32">
        <f>'77427 data'!J34*(   ('77427 data'!$D34 -  '77427 data'!$C34)     /'77427 data'!$D34)</f>
        <v>135734.90736729102</v>
      </c>
    </row>
    <row r="45" spans="1:17" x14ac:dyDescent="0.35">
      <c r="A45" t="s">
        <v>116</v>
      </c>
      <c r="B45" s="32"/>
      <c r="C45" s="32"/>
      <c r="D45" s="32"/>
      <c r="E45" s="32"/>
      <c r="F45" s="26"/>
      <c r="G45" s="32"/>
      <c r="H45" s="32"/>
      <c r="I45" s="32"/>
      <c r="J45" s="32"/>
      <c r="K45" s="32"/>
      <c r="L45" s="32">
        <f>'77427 data'!H34*(   ('77427 data'!$D34 -  '77427 data'!$C34)     /'77427 data'!$D34)</f>
        <v>84822.629253750332</v>
      </c>
      <c r="M45" s="32"/>
      <c r="N45" s="32"/>
      <c r="O45" s="32"/>
      <c r="P45" s="32"/>
      <c r="Q45" s="32">
        <f>'77427 data'!K34*(   ('77427 data'!$D34 -  '77427 data'!$C34)     /'77427 data'!$D34)</f>
        <v>163505.24088376781</v>
      </c>
    </row>
    <row r="46" spans="1:17" x14ac:dyDescent="0.35">
      <c r="L46" s="71"/>
    </row>
    <row r="47" spans="1:17" x14ac:dyDescent="0.35">
      <c r="A47" t="s">
        <v>143</v>
      </c>
    </row>
    <row r="48" spans="1:17" x14ac:dyDescent="0.35">
      <c r="A48" t="s">
        <v>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>
        <f>'77427 data'!F36*('77427 data'!$C36/'77427 data'!$D36)*L$32</f>
        <v>53753.224353499238</v>
      </c>
      <c r="M48" s="26"/>
      <c r="N48" s="26"/>
      <c r="O48" s="26"/>
      <c r="P48" s="26"/>
      <c r="Q48" s="26">
        <f>'77427 data'!I36*('77427 data'!$C36/'77427 data'!$D36)*Q$32</f>
        <v>78112.85548118579</v>
      </c>
    </row>
    <row r="49" spans="1:17" x14ac:dyDescent="0.35">
      <c r="A49" t="s">
        <v>115</v>
      </c>
      <c r="B49" s="32"/>
      <c r="C49" s="32"/>
      <c r="D49" s="32"/>
      <c r="E49" s="32"/>
      <c r="F49" s="26"/>
      <c r="G49" s="32"/>
      <c r="H49" s="32"/>
      <c r="I49" s="32"/>
      <c r="J49" s="32"/>
      <c r="K49" s="32"/>
      <c r="L49" s="32">
        <f>'77427 data'!G36*('77427 data'!$C36/'77427 data'!$D36)*L$32</f>
        <v>101649.53357811156</v>
      </c>
      <c r="M49" s="32"/>
      <c r="N49" s="32"/>
      <c r="O49" s="32"/>
      <c r="P49" s="32"/>
      <c r="Q49" s="32">
        <f>'77427 data'!J36*('77427 data'!$C36/'77427 data'!$D36)*Q$32</f>
        <v>159046.94276304639</v>
      </c>
    </row>
    <row r="50" spans="1:17" x14ac:dyDescent="0.35">
      <c r="A50" t="s">
        <v>116</v>
      </c>
      <c r="B50" s="32"/>
      <c r="C50" s="32"/>
      <c r="D50" s="32"/>
      <c r="E50" s="32"/>
      <c r="F50" s="26"/>
      <c r="G50" s="32"/>
      <c r="H50" s="32"/>
      <c r="I50" s="32"/>
      <c r="J50" s="32"/>
      <c r="K50" s="32"/>
      <c r="L50" s="32">
        <f>'77427 data'!H36*('77427 data'!$C36/'77427 data'!$D36)*L$32</f>
        <v>149545.84280272407</v>
      </c>
      <c r="M50" s="32"/>
      <c r="N50" s="32"/>
      <c r="O50" s="32"/>
      <c r="P50" s="32"/>
      <c r="Q50" s="32">
        <f>'77427 data'!K36*('77427 data'!$C36/'77427 data'!$D36)*Q$32</f>
        <v>239981.03004490703</v>
      </c>
    </row>
    <row r="51" spans="1:17" x14ac:dyDescent="0.35">
      <c r="A51" t="s">
        <v>144</v>
      </c>
      <c r="F51" s="26"/>
    </row>
    <row r="52" spans="1:17" x14ac:dyDescent="0.35">
      <c r="A52" t="s">
        <v>114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>
        <f>'77427 data'!F36*('77427 data'!$C36/'77427 data'!$D36)*(1-L$32)</f>
        <v>47165.08214702001</v>
      </c>
      <c r="M52" s="26"/>
      <c r="N52" s="26"/>
      <c r="O52" s="26"/>
      <c r="P52" s="26"/>
      <c r="Q52" s="32">
        <f>'77427 data'!I36*('77427 data'!$C36/'77427 data'!$D36)*(1-Q$32)</f>
        <v>95462.682170543572</v>
      </c>
    </row>
    <row r="53" spans="1:17" x14ac:dyDescent="0.35">
      <c r="A53" t="s">
        <v>115</v>
      </c>
      <c r="B53" s="32"/>
      <c r="C53" s="32"/>
      <c r="D53" s="32"/>
      <c r="E53" s="32"/>
      <c r="F53" s="26"/>
      <c r="G53" s="32"/>
      <c r="H53" s="32"/>
      <c r="I53" s="32"/>
      <c r="J53" s="32"/>
      <c r="K53" s="32"/>
      <c r="L53" s="32">
        <f>'77427 data'!G36*('77427 data'!$C36/'77427 data'!$D36)*(1-L$32)</f>
        <v>89191.08870360814</v>
      </c>
      <c r="M53" s="32"/>
      <c r="N53" s="32"/>
      <c r="O53" s="32"/>
      <c r="P53" s="32"/>
      <c r="Q53" s="32">
        <f>'77427 data'!J36*('77427 data'!$C36/'77427 data'!$D36)*(1-Q$32)</f>
        <v>194373.22645108416</v>
      </c>
    </row>
    <row r="54" spans="1:17" x14ac:dyDescent="0.35">
      <c r="A54" t="s">
        <v>116</v>
      </c>
      <c r="B54" s="32"/>
      <c r="C54" s="32"/>
      <c r="D54" s="32"/>
      <c r="E54" s="32"/>
      <c r="F54" s="26"/>
      <c r="G54" s="32"/>
      <c r="H54" s="32"/>
      <c r="I54" s="32"/>
      <c r="J54" s="32"/>
      <c r="K54" s="32"/>
      <c r="L54" s="32">
        <f>'77427 data'!H36*('77427 data'!$C36/'77427 data'!$D36)*(1-L$32)</f>
        <v>131217.09526019645</v>
      </c>
      <c r="M54" s="32"/>
      <c r="N54" s="32"/>
      <c r="O54" s="32"/>
      <c r="P54" s="32"/>
      <c r="Q54" s="32">
        <f>'77427 data'!K36*('77427 data'!$C36/'77427 data'!$D36)*(1-Q$32)</f>
        <v>293283.77073162474</v>
      </c>
    </row>
    <row r="55" spans="1:17" x14ac:dyDescent="0.35">
      <c r="A55" t="s">
        <v>145</v>
      </c>
      <c r="F55" s="26"/>
    </row>
    <row r="56" spans="1:17" x14ac:dyDescent="0.35">
      <c r="A56" t="s">
        <v>114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>
        <f>'77427 data'!F36*(   ('77427 data'!$D36 -  '77427 data'!$C36)     /'77427 data'!$D36)</f>
        <v>75711.631391797622</v>
      </c>
      <c r="M56" s="26"/>
      <c r="N56" s="26"/>
      <c r="O56" s="26"/>
      <c r="P56" s="26"/>
      <c r="Q56" s="26">
        <f>'77427 data'!I$36*(   ('77427 data'!$D$36 -  '77427 data'!$C$36)     /'77427 data'!$D$36)</f>
        <v>130221.04295074758</v>
      </c>
    </row>
    <row r="57" spans="1:17" x14ac:dyDescent="0.35">
      <c r="A57" t="s">
        <v>115</v>
      </c>
      <c r="B57" s="32"/>
      <c r="C57" s="32"/>
      <c r="D57" s="32"/>
      <c r="E57" s="32"/>
      <c r="F57" s="26"/>
      <c r="G57" s="32"/>
      <c r="H57" s="32"/>
      <c r="I57" s="32"/>
      <c r="J57" s="32"/>
      <c r="K57" s="32"/>
      <c r="L57" s="32">
        <f>'77427 data'!G36*(   ('77427 data'!$D36 -  '77427 data'!$C36)     /'77427 data'!$D36)</f>
        <v>143173.7744102999</v>
      </c>
      <c r="M57" s="32"/>
      <c r="N57" s="32"/>
      <c r="O57" s="32"/>
      <c r="P57" s="32"/>
      <c r="Q57" s="26">
        <f>'77427 data'!J$36*(   ('77427 data'!$D$36 -  '77427 data'!$C$36)     /'77427 data'!$D$36)</f>
        <v>265145.32898775226</v>
      </c>
    </row>
    <row r="58" spans="1:17" x14ac:dyDescent="0.35">
      <c r="A58" t="s">
        <v>116</v>
      </c>
      <c r="B58" s="32"/>
      <c r="C58" s="32"/>
      <c r="D58" s="32"/>
      <c r="E58" s="32"/>
      <c r="F58" s="26"/>
      <c r="G58" s="32"/>
      <c r="H58" s="32"/>
      <c r="I58" s="32"/>
      <c r="J58" s="32"/>
      <c r="K58" s="32"/>
      <c r="L58" s="32">
        <f>'77427 data'!H36*(   ('77427 data'!$D36 -  '77427 data'!$C36)     /'77427 data'!$D36)</f>
        <v>210635.91742880244</v>
      </c>
      <c r="M58" s="32"/>
      <c r="N58" s="32"/>
      <c r="O58" s="32"/>
      <c r="P58" s="32"/>
      <c r="Q58" s="26">
        <f>'77427 data'!K$36*(   ('77427 data'!$D$36 -  '77427 data'!$C$36)     /'77427 data'!$D$36)</f>
        <v>400069.61502475711</v>
      </c>
    </row>
    <row r="59" spans="1:17" x14ac:dyDescent="0.35">
      <c r="L59" s="71"/>
    </row>
    <row r="60" spans="1:17" x14ac:dyDescent="0.35">
      <c r="A60" t="s">
        <v>146</v>
      </c>
    </row>
    <row r="61" spans="1:17" x14ac:dyDescent="0.35">
      <c r="A61" t="s">
        <v>114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>
        <f>'77427 data'!F$37*('77427 data'!$C$37/'77427 data'!$D$37)*$L$32</f>
        <v>28861.657460882096</v>
      </c>
      <c r="N61" s="26"/>
      <c r="O61" s="26"/>
      <c r="P61" s="26"/>
      <c r="Q61" s="26">
        <f>'77427 data'!I$37*('77427 data'!$C$37/'77427 data'!$D$37)*$Q$32</f>
        <v>38886.77481981046</v>
      </c>
    </row>
    <row r="62" spans="1:17" x14ac:dyDescent="0.35">
      <c r="A62" t="s">
        <v>115</v>
      </c>
      <c r="B62" s="32"/>
      <c r="C62" s="32"/>
      <c r="D62" s="32"/>
      <c r="E62" s="32"/>
      <c r="F62" s="26"/>
      <c r="G62" s="32"/>
      <c r="H62" s="32"/>
      <c r="I62" s="32"/>
      <c r="J62" s="32"/>
      <c r="K62" s="32"/>
      <c r="L62" s="26">
        <f>'77427 data'!G$37*('77427 data'!$C$37/'77427 data'!$D$37)*$L$32</f>
        <v>37140.24161190696</v>
      </c>
      <c r="N62" s="32"/>
      <c r="O62" s="32"/>
      <c r="P62" s="32"/>
      <c r="Q62" s="26">
        <f>'77427 data'!J$37*('77427 data'!$C$37/'77427 data'!$D$37)*$Q$32</f>
        <v>52875.736873382928</v>
      </c>
    </row>
    <row r="63" spans="1:17" x14ac:dyDescent="0.35">
      <c r="A63" t="s">
        <v>116</v>
      </c>
      <c r="B63" s="32"/>
      <c r="C63" s="32"/>
      <c r="D63" s="32"/>
      <c r="E63" s="32"/>
      <c r="F63" s="26"/>
      <c r="G63" s="32"/>
      <c r="H63" s="32"/>
      <c r="I63" s="32"/>
      <c r="J63" s="32"/>
      <c r="K63" s="32"/>
      <c r="L63" s="26">
        <f>'77427 data'!H$37*('77427 data'!$C$37/'77427 data'!$D$37)*$L$32</f>
        <v>45418.82576293184</v>
      </c>
      <c r="N63" s="32"/>
      <c r="O63" s="32"/>
      <c r="P63" s="32"/>
      <c r="Q63" s="26">
        <f>'77427 data'!K$37*('77427 data'!$C$37/'77427 data'!$D$37)*$Q$32</f>
        <v>66864.698926955389</v>
      </c>
    </row>
    <row r="64" spans="1:17" x14ac:dyDescent="0.35">
      <c r="A64" t="s">
        <v>147</v>
      </c>
      <c r="F64" s="26"/>
    </row>
    <row r="65" spans="1:18" x14ac:dyDescent="0.35">
      <c r="A65" t="s">
        <v>114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>
        <f>'77427 data'!F$37*('77427 data'!$C$37/'77427 data'!$D$37)*(1-$L$32)</f>
        <v>25324.293777979503</v>
      </c>
      <c r="N65" s="26"/>
      <c r="O65" s="26"/>
      <c r="P65" s="26"/>
      <c r="Q65" s="26">
        <f>'77427 data'!I$37*('77427 data'!$C$37/'77427 data'!$D$37)*(1-$Q$32)</f>
        <v>47524.006162534795</v>
      </c>
    </row>
    <row r="66" spans="1:18" x14ac:dyDescent="0.35">
      <c r="A66" t="s">
        <v>115</v>
      </c>
      <c r="B66" s="32"/>
      <c r="C66" s="32"/>
      <c r="D66" s="32"/>
      <c r="E66" s="32"/>
      <c r="F66" s="26"/>
      <c r="G66" s="32"/>
      <c r="H66" s="32"/>
      <c r="I66" s="32"/>
      <c r="J66" s="32"/>
      <c r="K66" s="32"/>
      <c r="L66" s="26">
        <f>'77427 data'!G$37*('77427 data'!$C$37/'77427 data'!$D$37)*(1-$L$32)</f>
        <v>32588.232011271502</v>
      </c>
      <c r="N66" s="32"/>
      <c r="O66" s="32"/>
      <c r="P66" s="32"/>
      <c r="Q66" s="26">
        <f>'77427 data'!J$37*('77427 data'!$C$37/'77427 data'!$D$37)*(1-$Q$32)</f>
        <v>64620.088877596114</v>
      </c>
    </row>
    <row r="67" spans="1:18" x14ac:dyDescent="0.35">
      <c r="A67" t="s">
        <v>116</v>
      </c>
      <c r="B67" s="32"/>
      <c r="C67" s="32"/>
      <c r="D67" s="32"/>
      <c r="E67" s="32"/>
      <c r="F67" s="26"/>
      <c r="G67" s="32"/>
      <c r="H67" s="32"/>
      <c r="I67" s="32"/>
      <c r="J67" s="32"/>
      <c r="K67" s="32"/>
      <c r="L67" s="26">
        <f>'77427 data'!H$37*('77427 data'!$C$37/'77427 data'!$D$37)*(1-$L$32)</f>
        <v>39852.170244563516</v>
      </c>
      <c r="N67" s="32"/>
      <c r="O67" s="32"/>
      <c r="P67" s="32"/>
      <c r="Q67" s="26">
        <f>'77427 data'!K$37*('77427 data'!$C$37/'77427 data'!$D$37)*(1-$Q$32)</f>
        <v>81716.17159265744</v>
      </c>
    </row>
    <row r="68" spans="1:18" x14ac:dyDescent="0.35">
      <c r="A68" t="s">
        <v>148</v>
      </c>
      <c r="F68" s="26"/>
    </row>
    <row r="69" spans="1:18" x14ac:dyDescent="0.35">
      <c r="A69" t="s">
        <v>114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>
        <f>'77427 data'!F$37*(   ('77427 data'!$D$37 -  '77427 data'!$C$37)     /'77427 data'!$D$37)</f>
        <v>8097.9466101618436</v>
      </c>
      <c r="N69" s="26"/>
      <c r="O69" s="26"/>
      <c r="P69" s="26"/>
      <c r="Q69" s="26">
        <f>'77427 data'!I$37*(   ('77427 data'!$D$37 -  '77427 data'!$C$37)     /'77427 data'!$D$37)</f>
        <v>12913.861894807282</v>
      </c>
    </row>
    <row r="70" spans="1:18" x14ac:dyDescent="0.35">
      <c r="A70" t="s">
        <v>115</v>
      </c>
      <c r="B70" s="32"/>
      <c r="C70" s="32"/>
      <c r="D70" s="32"/>
      <c r="E70" s="32"/>
      <c r="F70" s="26"/>
      <c r="G70" s="32"/>
      <c r="H70" s="32"/>
      <c r="I70" s="32"/>
      <c r="J70" s="32"/>
      <c r="K70" s="32"/>
      <c r="L70" s="26">
        <f>'77427 data'!G$37*(   ('77427 data'!$D$37 -  '77427 data'!$C$37)     /'77427 data'!$D$37)</f>
        <v>10420.735332659642</v>
      </c>
      <c r="N70" s="32"/>
      <c r="O70" s="32"/>
      <c r="P70" s="32"/>
      <c r="Q70" s="26">
        <f>'77427 data'!J$37*(   ('77427 data'!$D$37 -  '77427 data'!$C$37)     /'77427 data'!$D$37)</f>
        <v>17559.439339802888</v>
      </c>
    </row>
    <row r="71" spans="1:18" x14ac:dyDescent="0.35">
      <c r="A71" t="s">
        <v>116</v>
      </c>
      <c r="B71" s="32"/>
      <c r="C71" s="32"/>
      <c r="D71" s="32"/>
      <c r="E71" s="32"/>
      <c r="F71" s="26"/>
      <c r="G71" s="32"/>
      <c r="H71" s="32"/>
      <c r="I71" s="32"/>
      <c r="J71" s="32"/>
      <c r="K71" s="32"/>
      <c r="L71" s="26">
        <f>'77427 data'!H$37*(   ('77427 data'!$D$37 -  '77427 data'!$C$37)     /'77427 data'!$D$37)</f>
        <v>12743.524055157446</v>
      </c>
      <c r="N71" s="32"/>
      <c r="O71" s="32"/>
      <c r="P71" s="32"/>
      <c r="Q71" s="26">
        <f>'77427 data'!K$37*(   ('77427 data'!$D$37 -  '77427 data'!$C$37)     /'77427 data'!$D$37)</f>
        <v>22205.016784798492</v>
      </c>
    </row>
    <row r="72" spans="1:18" x14ac:dyDescent="0.35">
      <c r="B72" s="32"/>
      <c r="C72" s="32"/>
      <c r="D72" s="32"/>
      <c r="E72" s="32"/>
      <c r="F72" s="26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8" x14ac:dyDescent="0.35">
      <c r="L73" s="71"/>
    </row>
    <row r="74" spans="1:18" x14ac:dyDescent="0.35">
      <c r="A74" t="s">
        <v>157</v>
      </c>
    </row>
    <row r="75" spans="1:18" x14ac:dyDescent="0.35">
      <c r="A75" t="s">
        <v>114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>
        <f>'77427 data'!F$38*('77427 data'!$C$38/'77427 data'!$D$38)*$L$32</f>
        <v>85742.679105325064</v>
      </c>
      <c r="N75" s="26"/>
      <c r="O75" s="26"/>
      <c r="P75" s="26"/>
      <c r="Q75" s="26">
        <f>'77427 data'!I$38*('77427 data'!$C$38/'77427 data'!$D$38)*$Q$32</f>
        <v>99978.523883560687</v>
      </c>
    </row>
    <row r="76" spans="1:18" x14ac:dyDescent="0.35">
      <c r="A76" t="s">
        <v>115</v>
      </c>
      <c r="B76" s="32"/>
      <c r="C76" s="32"/>
      <c r="D76" s="32"/>
      <c r="E76" s="32"/>
      <c r="F76" s="26"/>
      <c r="G76" s="32"/>
      <c r="H76" s="32"/>
      <c r="I76" s="32"/>
      <c r="J76" s="32"/>
      <c r="K76" s="32"/>
      <c r="L76" s="26">
        <f>'77427 data'!G$38*('77427 data'!$C$38/'77427 data'!$D$38)*$L$32</f>
        <v>187588.63817483556</v>
      </c>
      <c r="N76" s="32"/>
      <c r="O76" s="32"/>
      <c r="P76" s="32"/>
      <c r="Q76" s="26">
        <f>'77427 data'!J$38*('77427 data'!$C$38/'77427 data'!$D$38)*$Q$32</f>
        <v>272075.49490446865</v>
      </c>
    </row>
    <row r="77" spans="1:18" x14ac:dyDescent="0.35">
      <c r="A77" t="s">
        <v>116</v>
      </c>
      <c r="B77" s="32"/>
      <c r="C77" s="32"/>
      <c r="D77" s="32"/>
      <c r="E77" s="32"/>
      <c r="F77" s="26"/>
      <c r="G77" s="32"/>
      <c r="H77" s="32"/>
      <c r="I77" s="32"/>
      <c r="J77" s="32"/>
      <c r="K77" s="32"/>
      <c r="L77" s="26">
        <f>'77427 data'!H$38*('77427 data'!$C$38/'77427 data'!$D$38)*$L$32</f>
        <v>289434.59724434587</v>
      </c>
      <c r="N77" s="32"/>
      <c r="O77" s="32"/>
      <c r="P77" s="32"/>
      <c r="Q77" s="26">
        <f>'77427 data'!K$38*('77427 data'!$C$38/'77427 data'!$D$38)*$Q$32</f>
        <v>444172.46592537663</v>
      </c>
      <c r="R77" s="26"/>
    </row>
    <row r="78" spans="1:18" x14ac:dyDescent="0.35">
      <c r="A78" t="s">
        <v>158</v>
      </c>
      <c r="F78" s="26"/>
    </row>
    <row r="79" spans="1:18" x14ac:dyDescent="0.35">
      <c r="A79" t="s">
        <v>114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>
        <f>'77427 data'!F$38*('77427 data'!$C$38/'77427 data'!$D$38)*(1-$L$32)</f>
        <v>75233.821824587372</v>
      </c>
      <c r="N79" s="26"/>
      <c r="O79" s="26"/>
      <c r="P79" s="26"/>
      <c r="Q79" s="26">
        <f>'77427 data'!I$38*('77427 data'!$C$38/'77427 data'!$D$38)*(1-$Q$32)</f>
        <v>122184.98466843615</v>
      </c>
    </row>
    <row r="80" spans="1:18" x14ac:dyDescent="0.35">
      <c r="A80" t="s">
        <v>115</v>
      </c>
      <c r="B80" s="32"/>
      <c r="C80" s="32"/>
      <c r="D80" s="32"/>
      <c r="E80" s="32"/>
      <c r="F80" s="26"/>
      <c r="G80" s="32"/>
      <c r="H80" s="32"/>
      <c r="I80" s="32"/>
      <c r="J80" s="32"/>
      <c r="K80" s="32"/>
      <c r="L80" s="26">
        <f>'77427 data'!G$38*('77427 data'!$C$38/'77427 data'!$D$38)*(1-$L$32)</f>
        <v>164597.26157409136</v>
      </c>
      <c r="N80" s="32"/>
      <c r="O80" s="32"/>
      <c r="P80" s="32"/>
      <c r="Q80" s="26">
        <f>'77427 data'!J$38*('77427 data'!$C$38/'77427 data'!$D$38)*(1-$Q$32)</f>
        <v>332506.81128555711</v>
      </c>
    </row>
    <row r="81" spans="1:17" x14ac:dyDescent="0.35">
      <c r="A81" t="s">
        <v>116</v>
      </c>
      <c r="B81" s="32"/>
      <c r="C81" s="32"/>
      <c r="D81" s="32"/>
      <c r="E81" s="32"/>
      <c r="F81" s="26"/>
      <c r="G81" s="32"/>
      <c r="H81" s="32"/>
      <c r="I81" s="32"/>
      <c r="J81" s="32"/>
      <c r="K81" s="32"/>
      <c r="L81" s="26">
        <f>'77427 data'!H$38*('77427 data'!$C$38/'77427 data'!$D$38)*(1-$L$32)</f>
        <v>253960.70132359519</v>
      </c>
      <c r="N81" s="32"/>
      <c r="O81" s="32"/>
      <c r="P81" s="32"/>
      <c r="Q81" s="26">
        <f>'77427 data'!K$38*('77427 data'!$C$38/'77427 data'!$D$38)*(1-$Q$32)</f>
        <v>542828.63790267822</v>
      </c>
    </row>
    <row r="82" spans="1:17" x14ac:dyDescent="0.35">
      <c r="A82" t="s">
        <v>159</v>
      </c>
      <c r="F82" s="26"/>
    </row>
    <row r="83" spans="1:17" x14ac:dyDescent="0.35">
      <c r="A83" t="s">
        <v>114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>
        <f>'77427 data'!F$38*(   ('77427 data'!$D$38 -  '77427 data'!$C$38)     /'77427 data'!$D$38)</f>
        <v>104176.25990789857</v>
      </c>
      <c r="N83" s="26"/>
      <c r="O83" s="26"/>
      <c r="P83" s="26"/>
      <c r="Q83" s="26">
        <f>'77427 data'!I$38*(   ('77427 data'!$D$38 -  '77427 data'!$C$38)     /'77427 data'!$D$38)</f>
        <v>143773.55250776763</v>
      </c>
    </row>
    <row r="84" spans="1:17" x14ac:dyDescent="0.35">
      <c r="A84" t="s">
        <v>115</v>
      </c>
      <c r="B84" s="32"/>
      <c r="C84" s="32"/>
      <c r="D84" s="32"/>
      <c r="E84" s="32"/>
      <c r="F84" s="26"/>
      <c r="G84" s="32"/>
      <c r="H84" s="32"/>
      <c r="I84" s="32"/>
      <c r="J84" s="32"/>
      <c r="K84" s="32"/>
      <c r="L84" s="26">
        <f>'77427 data'!G$38*(   ('77427 data'!$D$38 -  '77427 data'!$C$38)     /'77427 data'!$D$38)</f>
        <v>227917.79928248984</v>
      </c>
      <c r="N84" s="32"/>
      <c r="O84" s="32"/>
      <c r="P84" s="32"/>
      <c r="Q84" s="26">
        <f>'77427 data'!J$38*(   ('77427 data'!$D$38 -  '77427 data'!$C$38)     /'77427 data'!$D$38)</f>
        <v>391256.63125695015</v>
      </c>
    </row>
    <row r="85" spans="1:17" x14ac:dyDescent="0.35">
      <c r="A85" t="s">
        <v>116</v>
      </c>
      <c r="B85" s="32"/>
      <c r="C85" s="32"/>
      <c r="D85" s="32"/>
      <c r="E85" s="32"/>
      <c r="F85" s="26"/>
      <c r="G85" s="32"/>
      <c r="H85" s="32"/>
      <c r="I85" s="32"/>
      <c r="J85" s="32"/>
      <c r="K85" s="32"/>
      <c r="L85" s="26">
        <f>'77427 data'!H$38*(   ('77427 data'!$D$38 -  '77427 data'!$C$38)     /'77427 data'!$D$38)</f>
        <v>351659.33865708089</v>
      </c>
      <c r="N85" s="32"/>
      <c r="O85" s="32"/>
      <c r="P85" s="32"/>
      <c r="Q85" s="26">
        <f>'77427 data'!K$38*(   ('77427 data'!$D$38 -  '77427 data'!$C$38)     /'77427 data'!$D$38)</f>
        <v>638739.71000613272</v>
      </c>
    </row>
    <row r="86" spans="1:17" x14ac:dyDescent="0.35">
      <c r="F86" s="26"/>
    </row>
    <row r="87" spans="1:17" x14ac:dyDescent="0.35">
      <c r="A87" t="s">
        <v>118</v>
      </c>
      <c r="F87" s="26"/>
      <c r="H87">
        <f>IF('Base Output Fx'!$D49=$A88,H88,IF('Base Output Fx'!$D49=$A89,H89,IF('Base Output Fx'!$D49=$A90,H90,IF('Base Output Fx'!$D49=$A91,H91,0))))</f>
        <v>294397.51197583199</v>
      </c>
      <c r="I87">
        <f>IF('Base Output Fx'!$D49=$A88,I88,IF('Base Output Fx'!$D49=$A89,I89,IF('Base Output Fx'!$D49=$A90,I90,IF('Base Output Fx'!$D49=$A91,I91,0))))</f>
        <v>588795.02395166398</v>
      </c>
      <c r="J87">
        <f>IF('Base Output Fx'!$D49=$A88,J88,IF('Base Output Fx'!$D49=$A89,J89,IF('Base Output Fx'!$D49=$A90,J90,IF('Base Output Fx'!$D49=$A91,J91,0))))</f>
        <v>883192.53592749604</v>
      </c>
      <c r="K87">
        <f>IF('Base Output Fx'!$D49=$A88,K88,IF('Base Output Fx'!$D49=$A89,K89,IF('Base Output Fx'!$D49=$A90,K90,IF('Base Output Fx'!$D49=$A91,K91,0))))</f>
        <v>1177590.047903328</v>
      </c>
      <c r="L87">
        <f>IF('Base Output Fx'!$D49=$A88,L88,IF('Base Output Fx'!$D49=$A89,L89,IF('Base Output Fx'!$D49=$A90,L90,IF('Base Output Fx'!$D49=$A91,L91,0))))</f>
        <v>1471987.5598791598</v>
      </c>
      <c r="M87">
        <f>IF('Base Output Fx'!$D49=$A88,M88,IF('Base Output Fx'!$D49=$A89,M89,IF('Base Output Fx'!$D49=$A90,M90,IF('Base Output Fx'!$D49=$A91,M91,0))))</f>
        <v>1766385.0718549921</v>
      </c>
      <c r="N87">
        <f>IF('Base Output Fx'!$D49=$A88,N88,IF('Base Output Fx'!$D49=$A89,N89,IF('Base Output Fx'!$D49=$A90,N90,IF('Base Output Fx'!$D49=$A91,N91,0))))</f>
        <v>2060782.5838308239</v>
      </c>
      <c r="O87">
        <f>IF('Base Output Fx'!$D49=$A88,O88,IF('Base Output Fx'!$D49=$A89,O89,IF('Base Output Fx'!$D49=$A90,O90,IF('Base Output Fx'!$D49=$A91,O91,0))))</f>
        <v>2355180.0958066559</v>
      </c>
      <c r="P87">
        <f>IF('Base Output Fx'!$D49=$A88,P88,IF('Base Output Fx'!$D49=$A89,P89,IF('Base Output Fx'!$D49=$A90,P90,IF('Base Output Fx'!$D49=$A91,P91,0))))</f>
        <v>2649577.6077824878</v>
      </c>
      <c r="Q87">
        <f>IF('Base Output Fx'!$D49=$A88,Q88,IF('Base Output Fx'!$D49=$A89,Q89,IF('Base Output Fx'!$D49=$A90,Q90,IF('Base Output Fx'!$D49=$A91,Q91,0))))</f>
        <v>2943975.1197583196</v>
      </c>
    </row>
    <row r="88" spans="1:17" x14ac:dyDescent="0.35">
      <c r="A88" s="102" t="s">
        <v>258</v>
      </c>
      <c r="F88" s="26"/>
      <c r="H88" s="71">
        <f>$Q88*(0.1*H$92)</f>
        <v>0</v>
      </c>
      <c r="I88" s="71">
        <f>$Q88*(0.1*I$92)</f>
        <v>0</v>
      </c>
      <c r="J88" s="71">
        <f t="shared" ref="I88:P91" si="4">$Q88*(0.1*J$92)</f>
        <v>0</v>
      </c>
      <c r="K88" s="71">
        <f t="shared" si="4"/>
        <v>0</v>
      </c>
      <c r="L88" s="71">
        <f t="shared" si="4"/>
        <v>0</v>
      </c>
      <c r="M88" s="71">
        <f t="shared" si="4"/>
        <v>0</v>
      </c>
      <c r="N88" s="71">
        <f t="shared" si="4"/>
        <v>0</v>
      </c>
      <c r="O88" s="71">
        <f t="shared" si="4"/>
        <v>0</v>
      </c>
      <c r="P88" s="71">
        <f t="shared" si="4"/>
        <v>0</v>
      </c>
      <c r="Q88" s="25">
        <f>E125</f>
        <v>0</v>
      </c>
    </row>
    <row r="89" spans="1:17" x14ac:dyDescent="0.35">
      <c r="A89" s="102" t="s">
        <v>260</v>
      </c>
      <c r="F89" s="26"/>
      <c r="H89" s="71">
        <f>$Q89*(0.1*H$92)</f>
        <v>112957.65439668704</v>
      </c>
      <c r="I89" s="71">
        <f t="shared" si="4"/>
        <v>225915.30879337408</v>
      </c>
      <c r="J89" s="71">
        <f t="shared" si="4"/>
        <v>338872.96319006116</v>
      </c>
      <c r="K89" s="71">
        <f t="shared" si="4"/>
        <v>451830.61758674815</v>
      </c>
      <c r="L89" s="71">
        <f t="shared" si="4"/>
        <v>564788.27198343514</v>
      </c>
      <c r="M89" s="71">
        <f t="shared" si="4"/>
        <v>677745.92638012231</v>
      </c>
      <c r="N89" s="71">
        <f t="shared" si="4"/>
        <v>790703.58077680925</v>
      </c>
      <c r="O89" s="71">
        <f t="shared" si="4"/>
        <v>903661.2351734963</v>
      </c>
      <c r="P89" s="71">
        <f t="shared" si="4"/>
        <v>1016618.8895701832</v>
      </c>
      <c r="Q89" s="25">
        <f>E126</f>
        <v>1129576.5439668703</v>
      </c>
    </row>
    <row r="90" spans="1:17" x14ac:dyDescent="0.35">
      <c r="A90" s="102" t="s">
        <v>261</v>
      </c>
      <c r="F90" s="26"/>
      <c r="H90" s="71">
        <f>$Q90*(0.1*H$92)</f>
        <v>294397.51197583199</v>
      </c>
      <c r="I90" s="71">
        <f t="shared" si="4"/>
        <v>588795.02395166398</v>
      </c>
      <c r="J90" s="71">
        <f t="shared" si="4"/>
        <v>883192.53592749604</v>
      </c>
      <c r="K90" s="71">
        <f t="shared" si="4"/>
        <v>1177590.047903328</v>
      </c>
      <c r="L90" s="71">
        <f t="shared" si="4"/>
        <v>1471987.5598791598</v>
      </c>
      <c r="M90" s="71">
        <f t="shared" si="4"/>
        <v>1766385.0718549921</v>
      </c>
      <c r="N90" s="71">
        <f t="shared" si="4"/>
        <v>2060782.5838308239</v>
      </c>
      <c r="O90" s="71">
        <f t="shared" si="4"/>
        <v>2355180.0958066559</v>
      </c>
      <c r="P90" s="71">
        <f t="shared" si="4"/>
        <v>2649577.6077824878</v>
      </c>
      <c r="Q90" s="25">
        <f>E127</f>
        <v>2943975.1197583196</v>
      </c>
    </row>
    <row r="91" spans="1:17" x14ac:dyDescent="0.35">
      <c r="A91" s="102" t="s">
        <v>262</v>
      </c>
      <c r="H91" s="71">
        <f>$Q91*(0.1*H$92)</f>
        <v>475837.36955497693</v>
      </c>
      <c r="I91" s="71">
        <f t="shared" si="4"/>
        <v>951674.73910995387</v>
      </c>
      <c r="J91" s="71">
        <f t="shared" si="4"/>
        <v>1427512.108664931</v>
      </c>
      <c r="K91" s="71">
        <f t="shared" si="4"/>
        <v>1903349.4782199077</v>
      </c>
      <c r="L91" s="71">
        <f t="shared" si="4"/>
        <v>2379186.8477748847</v>
      </c>
      <c r="M91" s="71">
        <f t="shared" si="4"/>
        <v>2855024.2173298621</v>
      </c>
      <c r="N91" s="71">
        <f t="shared" si="4"/>
        <v>3330861.586884839</v>
      </c>
      <c r="O91" s="71">
        <f t="shared" si="4"/>
        <v>3806698.9564398155</v>
      </c>
      <c r="P91" s="71">
        <f t="shared" si="4"/>
        <v>4282536.3259947924</v>
      </c>
      <c r="Q91" s="25">
        <f>E128</f>
        <v>4758373.6955497693</v>
      </c>
    </row>
    <row r="92" spans="1:17" x14ac:dyDescent="0.35">
      <c r="H92">
        <v>1</v>
      </c>
      <c r="I92">
        <v>2</v>
      </c>
      <c r="J92">
        <v>3</v>
      </c>
      <c r="K92">
        <v>4</v>
      </c>
      <c r="L92">
        <v>5</v>
      </c>
      <c r="M92">
        <v>6</v>
      </c>
      <c r="N92">
        <v>7</v>
      </c>
      <c r="O92">
        <v>8</v>
      </c>
      <c r="P92">
        <v>9</v>
      </c>
      <c r="Q92">
        <v>10</v>
      </c>
    </row>
    <row r="94" spans="1:17" x14ac:dyDescent="0.35">
      <c r="A94" t="s">
        <v>133</v>
      </c>
      <c r="H94">
        <f>IF('Base Output Fx'!$D51=$A95,H95,IF('Base Output Fx'!$D51=$A96,H96,IF('Base Output Fx'!$D51=$A97,H97,IF('Base Output Fx'!$D51=$A98,H98,0))))</f>
        <v>82079.763443958305</v>
      </c>
      <c r="I94">
        <f>IF('Base Output Fx'!$D51=$A95,I95,IF('Base Output Fx'!$D51=$A96,I96,IF('Base Output Fx'!$D51=$A97,I97,IF('Base Output Fx'!$D51=$A98,I98,0))))</f>
        <v>164159.52688791661</v>
      </c>
      <c r="J94">
        <f>IF('Base Output Fx'!$D51=$A95,J95,IF('Base Output Fx'!$D51=$A96,J96,IF('Base Output Fx'!$D51=$A97,J97,IF('Base Output Fx'!$D51=$A98,J98,0))))</f>
        <v>246239.29033187492</v>
      </c>
      <c r="K94">
        <f>IF('Base Output Fx'!$D51=$A95,K95,IF('Base Output Fx'!$D51=$A96,K96,IF('Base Output Fx'!$D51=$A97,K97,IF('Base Output Fx'!$D51=$A98,K98,0))))</f>
        <v>328319.05377583322</v>
      </c>
      <c r="L94">
        <f>IF('Base Output Fx'!$D51=$A95,L95,IF('Base Output Fx'!$D51=$A96,L96,IF('Base Output Fx'!$D51=$A97,L97,IF('Base Output Fx'!$D51=$A98,L98,0))))</f>
        <v>410398.81721979147</v>
      </c>
      <c r="M94">
        <f>IF('Base Output Fx'!$D51=$A95,M95,IF('Base Output Fx'!$D51=$A96,M96,IF('Base Output Fx'!$D51=$A97,M97,IF('Base Output Fx'!$D51=$A98,M98,0))))</f>
        <v>492478.58066374983</v>
      </c>
      <c r="N94">
        <f>IF('Base Output Fx'!$D51=$A95,N95,IF('Base Output Fx'!$D51=$A96,N96,IF('Base Output Fx'!$D51=$A97,N97,IF('Base Output Fx'!$D51=$A98,N98,0))))</f>
        <v>574558.34410770808</v>
      </c>
      <c r="O94">
        <f>IF('Base Output Fx'!$D51=$A95,O95,IF('Base Output Fx'!$D51=$A96,O96,IF('Base Output Fx'!$D51=$A97,O97,IF('Base Output Fx'!$D51=$A98,O98,0))))</f>
        <v>656638.10755166644</v>
      </c>
      <c r="P94">
        <f>IF('Base Output Fx'!$D51=$A95,P95,IF('Base Output Fx'!$D51=$A96,P96,IF('Base Output Fx'!$D51=$A97,P97,IF('Base Output Fx'!$D51=$A98,P98,0))))</f>
        <v>738717.87099562469</v>
      </c>
      <c r="Q94">
        <f>IF('Base Output Fx'!$D51=$A95,Q95,IF('Base Output Fx'!$D51=$A96,Q96,IF('Base Output Fx'!$D51=$A97,Q97,IF('Base Output Fx'!$D51=$A98,Q98,0))))</f>
        <v>820797.63443958294</v>
      </c>
    </row>
    <row r="95" spans="1:17" x14ac:dyDescent="0.35">
      <c r="A95" t="s">
        <v>285</v>
      </c>
      <c r="H95" s="71">
        <f>$Q95*(0.1*H$92)</f>
        <v>41039.881721979153</v>
      </c>
      <c r="I95" s="71">
        <f t="shared" ref="I95:O95" si="5">$Q95*(0.1*I$92)</f>
        <v>82079.763443958305</v>
      </c>
      <c r="J95" s="71">
        <f t="shared" si="5"/>
        <v>123119.64516593746</v>
      </c>
      <c r="K95" s="71">
        <f t="shared" si="5"/>
        <v>164159.52688791661</v>
      </c>
      <c r="L95" s="71">
        <f t="shared" si="5"/>
        <v>205199.40860989573</v>
      </c>
      <c r="M95" s="71">
        <f t="shared" si="5"/>
        <v>246239.29033187492</v>
      </c>
      <c r="N95" s="71">
        <f t="shared" si="5"/>
        <v>287279.17205385404</v>
      </c>
      <c r="O95" s="71">
        <f t="shared" si="5"/>
        <v>328319.05377583322</v>
      </c>
      <c r="P95" s="71">
        <f>$Q95*(0.1*P$92)</f>
        <v>369358.93549781234</v>
      </c>
      <c r="Q95" s="71">
        <f>B$126*0.05</f>
        <v>410398.81721979147</v>
      </c>
    </row>
    <row r="96" spans="1:17" x14ac:dyDescent="0.35">
      <c r="A96" t="s">
        <v>286</v>
      </c>
      <c r="H96" s="71">
        <f t="shared" ref="H96:P97" si="6">$Q96*(0.1*H$92)</f>
        <v>82079.763443958305</v>
      </c>
      <c r="I96" s="71">
        <f t="shared" si="6"/>
        <v>164159.52688791661</v>
      </c>
      <c r="J96" s="71">
        <f t="shared" si="6"/>
        <v>246239.29033187492</v>
      </c>
      <c r="K96" s="71">
        <f t="shared" si="6"/>
        <v>328319.05377583322</v>
      </c>
      <c r="L96" s="71">
        <f t="shared" si="6"/>
        <v>410398.81721979147</v>
      </c>
      <c r="M96" s="71">
        <f t="shared" si="6"/>
        <v>492478.58066374983</v>
      </c>
      <c r="N96" s="71">
        <f t="shared" si="6"/>
        <v>574558.34410770808</v>
      </c>
      <c r="O96" s="71">
        <f t="shared" si="6"/>
        <v>656638.10755166644</v>
      </c>
      <c r="P96" s="71">
        <f t="shared" si="6"/>
        <v>738717.87099562469</v>
      </c>
      <c r="Q96" s="71">
        <f>B$126*0.1</f>
        <v>820797.63443958294</v>
      </c>
    </row>
    <row r="97" spans="1:17" x14ac:dyDescent="0.35">
      <c r="A97" t="s">
        <v>284</v>
      </c>
      <c r="H97" s="71">
        <f t="shared" si="6"/>
        <v>205199.40860989573</v>
      </c>
      <c r="I97" s="71">
        <f t="shared" si="6"/>
        <v>410398.81721979147</v>
      </c>
      <c r="J97" s="71">
        <f t="shared" si="6"/>
        <v>615598.2258296872</v>
      </c>
      <c r="K97" s="71">
        <f t="shared" si="6"/>
        <v>820797.63443958294</v>
      </c>
      <c r="L97" s="71">
        <f t="shared" si="6"/>
        <v>1025997.0430494786</v>
      </c>
      <c r="M97" s="71">
        <f t="shared" si="6"/>
        <v>1231196.4516593744</v>
      </c>
      <c r="N97" s="71">
        <f t="shared" si="6"/>
        <v>1436395.8602692701</v>
      </c>
      <c r="O97" s="71">
        <f t="shared" si="6"/>
        <v>1641595.2688791659</v>
      </c>
      <c r="P97" s="71">
        <f t="shared" si="6"/>
        <v>1846794.6774890614</v>
      </c>
      <c r="Q97" s="71">
        <f>B$126*0.25</f>
        <v>2051994.0860989571</v>
      </c>
    </row>
    <row r="98" spans="1:17" x14ac:dyDescent="0.35">
      <c r="A98" s="102" t="s">
        <v>265</v>
      </c>
      <c r="B98" s="101" t="s">
        <v>268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</row>
    <row r="99" spans="1:17" x14ac:dyDescent="0.35">
      <c r="A99" s="102"/>
      <c r="H99" s="71"/>
      <c r="I99" s="71"/>
      <c r="J99" s="71"/>
      <c r="K99" s="71"/>
      <c r="L99" s="71"/>
      <c r="M99" s="71"/>
      <c r="N99" s="71"/>
      <c r="O99" s="71"/>
      <c r="P99" s="71"/>
      <c r="Q99" s="71"/>
    </row>
    <row r="100" spans="1:17" x14ac:dyDescent="0.35">
      <c r="A100" s="102" t="s">
        <v>269</v>
      </c>
      <c r="H100">
        <f>IF('Base Output Fx'!$D52=$A101,H101,IF('Base Output Fx'!$D52=$A102,H102,IF('Base Output Fx'!$D52=$A103,H103,IF('Base Output Fx'!$D52=$A104,H104,0))))</f>
        <v>95170.68</v>
      </c>
      <c r="I100">
        <f>IF('Base Output Fx'!$D52=$A101,I101,IF('Base Output Fx'!$D52=$A102,I102,IF('Base Output Fx'!$D52=$A103,I103,IF('Base Output Fx'!$D52=$A104,I104,0))))</f>
        <v>190341.36</v>
      </c>
      <c r="J100">
        <f>IF('Base Output Fx'!$D52=$A101,J101,IF('Base Output Fx'!$D52=$A102,J102,IF('Base Output Fx'!$D52=$A103,J103,IF('Base Output Fx'!$D52=$A104,J104,0))))</f>
        <v>285512.04000000004</v>
      </c>
      <c r="K100">
        <f>IF('Base Output Fx'!$D52=$A101,K101,IF('Base Output Fx'!$D52=$A102,K102,IF('Base Output Fx'!$D52=$A103,K103,IF('Base Output Fx'!$D52=$A104,K104,0))))</f>
        <v>380682.72</v>
      </c>
      <c r="L100">
        <f>IF('Base Output Fx'!$D52=$A101,L101,IF('Base Output Fx'!$D52=$A102,L102,IF('Base Output Fx'!$D52=$A103,L103,IF('Base Output Fx'!$D52=$A104,L104,0))))</f>
        <v>475853.39999999997</v>
      </c>
      <c r="M100">
        <f>IF('Base Output Fx'!$D52=$A101,M101,IF('Base Output Fx'!$D52=$A102,M102,IF('Base Output Fx'!$D52=$A103,M103,IF('Base Output Fx'!$D52=$A104,M104,0))))</f>
        <v>571024.08000000007</v>
      </c>
      <c r="N100">
        <f>IF('Base Output Fx'!$D52=$A101,N101,IF('Base Output Fx'!$D52=$A102,N102,IF('Base Output Fx'!$D52=$A103,N103,IF('Base Output Fx'!$D52=$A104,N104,0))))</f>
        <v>666194.76</v>
      </c>
      <c r="O100">
        <f>IF('Base Output Fx'!$D52=$A101,O101,IF('Base Output Fx'!$D52=$A102,O102,IF('Base Output Fx'!$D52=$A103,O103,IF('Base Output Fx'!$D52=$A104,O104,0))))</f>
        <v>761365.44</v>
      </c>
      <c r="P100">
        <f>IF('Base Output Fx'!$D52=$A101,P101,IF('Base Output Fx'!$D52=$A102,P102,IF('Base Output Fx'!$D52=$A103,P103,IF('Base Output Fx'!$D52=$A104,P104,0))))</f>
        <v>856536.12</v>
      </c>
      <c r="Q100">
        <f>IF('Base Output Fx'!$D52=$A101,Q101,IF('Base Output Fx'!$D52=$A102,Q102,IF('Base Output Fx'!$D52=$A103,Q103,IF('Base Output Fx'!$D52=$A104,Q104,0))))</f>
        <v>951706.79999999993</v>
      </c>
    </row>
    <row r="101" spans="1:17" x14ac:dyDescent="0.35">
      <c r="A101" s="102" t="s">
        <v>287</v>
      </c>
      <c r="H101" s="71">
        <f>$Q101*(0.1*H$92)</f>
        <v>47585.34</v>
      </c>
      <c r="I101" s="71">
        <f t="shared" ref="I101:P101" si="7">$Q101*(0.1*I$92)</f>
        <v>95170.68</v>
      </c>
      <c r="J101" s="71">
        <f t="shared" si="7"/>
        <v>142756.02000000002</v>
      </c>
      <c r="K101" s="71">
        <f t="shared" si="7"/>
        <v>190341.36</v>
      </c>
      <c r="L101" s="71">
        <f t="shared" si="7"/>
        <v>237926.69999999998</v>
      </c>
      <c r="M101" s="71">
        <f t="shared" si="7"/>
        <v>285512.04000000004</v>
      </c>
      <c r="N101" s="71">
        <f t="shared" si="7"/>
        <v>333097.38</v>
      </c>
      <c r="O101" s="71">
        <f t="shared" si="7"/>
        <v>380682.72</v>
      </c>
      <c r="P101" s="71">
        <f t="shared" si="7"/>
        <v>428268.06</v>
      </c>
      <c r="Q101" s="71">
        <f>B138</f>
        <v>475853.39999999997</v>
      </c>
    </row>
    <row r="102" spans="1:17" x14ac:dyDescent="0.35">
      <c r="A102" s="102" t="s">
        <v>274</v>
      </c>
      <c r="H102" s="71">
        <f t="shared" ref="H102:P103" si="8">$Q102*(0.1*H$92)</f>
        <v>95170.68</v>
      </c>
      <c r="I102" s="71">
        <f t="shared" si="8"/>
        <v>190341.36</v>
      </c>
      <c r="J102" s="71">
        <f t="shared" si="8"/>
        <v>285512.04000000004</v>
      </c>
      <c r="K102" s="71">
        <f t="shared" si="8"/>
        <v>380682.72</v>
      </c>
      <c r="L102" s="71">
        <f t="shared" si="8"/>
        <v>475853.39999999997</v>
      </c>
      <c r="M102" s="71">
        <f t="shared" si="8"/>
        <v>571024.08000000007</v>
      </c>
      <c r="N102" s="71">
        <f t="shared" si="8"/>
        <v>666194.76</v>
      </c>
      <c r="O102" s="71">
        <f t="shared" si="8"/>
        <v>761365.44</v>
      </c>
      <c r="P102" s="71">
        <f t="shared" si="8"/>
        <v>856536.12</v>
      </c>
      <c r="Q102" s="71">
        <f>B139</f>
        <v>951706.79999999993</v>
      </c>
    </row>
    <row r="103" spans="1:17" x14ac:dyDescent="0.35">
      <c r="A103" s="102" t="s">
        <v>275</v>
      </c>
      <c r="H103" s="71">
        <f t="shared" si="8"/>
        <v>158617.80000000002</v>
      </c>
      <c r="I103" s="71">
        <f t="shared" si="8"/>
        <v>317235.60000000003</v>
      </c>
      <c r="J103" s="71">
        <f t="shared" si="8"/>
        <v>475853.40000000008</v>
      </c>
      <c r="K103" s="71">
        <f t="shared" si="8"/>
        <v>634471.20000000007</v>
      </c>
      <c r="L103" s="71">
        <f t="shared" si="8"/>
        <v>793089</v>
      </c>
      <c r="M103" s="71">
        <f t="shared" si="8"/>
        <v>951706.80000000016</v>
      </c>
      <c r="N103" s="71">
        <f t="shared" si="8"/>
        <v>1110324.6000000001</v>
      </c>
      <c r="O103" s="71">
        <f t="shared" si="8"/>
        <v>1268942.4000000001</v>
      </c>
      <c r="P103" s="71">
        <f t="shared" si="8"/>
        <v>1427560.2</v>
      </c>
      <c r="Q103" s="71">
        <f>B140</f>
        <v>1586178</v>
      </c>
    </row>
    <row r="105" spans="1:17" x14ac:dyDescent="0.35">
      <c r="A105" t="s">
        <v>134</v>
      </c>
      <c r="G105">
        <f>IF('Base Output Fx'!$D50=$A106,G106,IF('Base Output Fx'!$D50=$A107,G107,IF('Base Output Fx'!$D50=$A108,G108,IF('Base Output Fx'!$D50=$A109,G109,IF('Base Output Fx'!$D50=$A110,G110,1)))))</f>
        <v>1</v>
      </c>
      <c r="H105">
        <f>IF('Base Output Fx'!$D50=$A106,H106,IF('Base Output Fx'!$D50=$A107,H107,IF('Base Output Fx'!$D50=$A108,H108,IF('Base Output Fx'!$D50=$A109,H109,IF('Base Output Fx'!$D50=$A110,H110,1)))))</f>
        <v>1</v>
      </c>
      <c r="I105">
        <f>IF('Base Output Fx'!$D50=$A106,I106,IF('Base Output Fx'!$D50=$A107,I107,IF('Base Output Fx'!$D50=$A108,I108,IF('Base Output Fx'!$D50=$A109,I109,IF('Base Output Fx'!$D50=$A110,I110,1)))))</f>
        <v>1</v>
      </c>
      <c r="J105">
        <f>IF('Base Output Fx'!$D50=$A106,J106,IF('Base Output Fx'!$D50=$A107,J107,IF('Base Output Fx'!$D50=$A108,J108,IF('Base Output Fx'!$D50=$A109,J109,IF('Base Output Fx'!$D50=$A110,J110,1)))))</f>
        <v>1</v>
      </c>
      <c r="K105">
        <f>IF('Base Output Fx'!$D50=$A106,K106,IF('Base Output Fx'!$D50=$A107,K107,IF('Base Output Fx'!$D50=$A108,K108,IF('Base Output Fx'!$D50=$A109,K109,IF('Base Output Fx'!$D50=$A110,K110,1)))))</f>
        <v>1</v>
      </c>
      <c r="L105">
        <f>IF('Base Output Fx'!$D50=$A106,L106,IF('Base Output Fx'!$D50=$A107,L107,IF('Base Output Fx'!$D50=$A108,L108,IF('Base Output Fx'!$D50=$A109,L109,IF('Base Output Fx'!$D50=$A110,L110,1)))))</f>
        <v>1</v>
      </c>
      <c r="M105">
        <f>IF('Base Output Fx'!$D50=$A106,M106,IF('Base Output Fx'!$D50=$A107,M107,IF('Base Output Fx'!$D50=$A108,M108,IF('Base Output Fx'!$D50=$A109,M109,IF('Base Output Fx'!$D50=$A110,M110,1)))))</f>
        <v>1</v>
      </c>
      <c r="N105">
        <f>IF('Base Output Fx'!$D50=$A106,N106,IF('Base Output Fx'!$D50=$A107,N107,IF('Base Output Fx'!$D50=$A108,N108,IF('Base Output Fx'!$D50=$A109,N109,IF('Base Output Fx'!$D50=$A110,N110,1)))))</f>
        <v>1</v>
      </c>
      <c r="O105">
        <f>IF('Base Output Fx'!$D50=$A106,O106,IF('Base Output Fx'!$D50=$A107,O107,IF('Base Output Fx'!$D50=$A108,O108,IF('Base Output Fx'!$D50=$A109,O109,IF('Base Output Fx'!$D50=$A110,O110,1)))))</f>
        <v>1</v>
      </c>
      <c r="P105">
        <f>IF('Base Output Fx'!$D50=$A106,P106,IF('Base Output Fx'!$D50=$A107,P107,IF('Base Output Fx'!$D50=$A108,P108,IF('Base Output Fx'!$D50=$A109,P109,IF('Base Output Fx'!$D50=$A110,P110,1)))))</f>
        <v>1</v>
      </c>
      <c r="Q105">
        <f>IF('Base Output Fx'!$D50=$A106,Q106,IF('Base Output Fx'!$D50=$A107,Q107,IF('Base Output Fx'!$D50=$A108,Q108,IF('Base Output Fx'!$D50=$A109,Q109,IF('Base Output Fx'!$D50=$A110,Q110,1)))))</f>
        <v>1</v>
      </c>
    </row>
    <row r="106" spans="1:17" x14ac:dyDescent="0.35">
      <c r="A106" t="s">
        <v>156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</row>
    <row r="107" spans="1:17" x14ac:dyDescent="0.35">
      <c r="A107" t="s">
        <v>154</v>
      </c>
      <c r="G107">
        <v>1</v>
      </c>
      <c r="H107">
        <f>G107*(($Q107/$G107)^(1/10))</f>
        <v>1.0106881558165439</v>
      </c>
      <c r="I107">
        <f t="shared" ref="I107:P107" si="9">H107*(($Q107/$G107)^(1/10))</f>
        <v>1.0214905483078465</v>
      </c>
      <c r="J107">
        <f t="shared" si="9"/>
        <v>1.0324083984532877</v>
      </c>
      <c r="K107">
        <f t="shared" si="9"/>
        <v>1.0434429402822649</v>
      </c>
      <c r="L107">
        <f t="shared" si="9"/>
        <v>1.0545954210136745</v>
      </c>
      <c r="M107">
        <f t="shared" si="9"/>
        <v>1.0658671011968823</v>
      </c>
      <c r="N107">
        <f t="shared" si="9"/>
        <v>1.0772592548542026</v>
      </c>
      <c r="O107">
        <f t="shared" si="9"/>
        <v>1.0887731696248983</v>
      </c>
      <c r="P107">
        <f t="shared" si="9"/>
        <v>1.1004101469107217</v>
      </c>
      <c r="Q107">
        <f>'Regional data'!J38</f>
        <v>1.1121715020230101</v>
      </c>
    </row>
    <row r="108" spans="1:17" x14ac:dyDescent="0.35">
      <c r="A108" t="s">
        <v>155</v>
      </c>
      <c r="G108">
        <v>1</v>
      </c>
      <c r="H108">
        <f t="shared" ref="H108:P108" si="10">G108*(($Q108/$G108)^(1/10))</f>
        <v>1.0044674648098324</v>
      </c>
      <c r="I108">
        <f t="shared" si="10"/>
        <v>1.0089548878614918</v>
      </c>
      <c r="J108">
        <f t="shared" si="10"/>
        <v>1.0134623583177214</v>
      </c>
      <c r="K108">
        <f t="shared" si="10"/>
        <v>1.0179899657395954</v>
      </c>
      <c r="L108">
        <f t="shared" si="10"/>
        <v>1.0225378000882996</v>
      </c>
      <c r="M108">
        <f t="shared" si="10"/>
        <v>1.0271059517269177</v>
      </c>
      <c r="N108">
        <f t="shared" si="10"/>
        <v>1.0316945114222271</v>
      </c>
      <c r="O108">
        <f t="shared" si="10"/>
        <v>1.0363035703465031</v>
      </c>
      <c r="P108">
        <f t="shared" si="10"/>
        <v>1.0409332200793298</v>
      </c>
      <c r="Q108">
        <f>'Regional data'!J34</f>
        <v>1.0455835526094199</v>
      </c>
    </row>
    <row r="109" spans="1:17" x14ac:dyDescent="0.35">
      <c r="A109" t="s">
        <v>231</v>
      </c>
      <c r="G109">
        <v>1</v>
      </c>
      <c r="H109">
        <f t="shared" ref="H109:P109" si="11">G109*(($Q109/$G109)^(1/10))</f>
        <v>0.99051417096454575</v>
      </c>
      <c r="I109">
        <f t="shared" si="11"/>
        <v>0.98111832288158141</v>
      </c>
      <c r="J109">
        <f t="shared" si="11"/>
        <v>0.97181160220717511</v>
      </c>
      <c r="K109">
        <f t="shared" si="11"/>
        <v>0.96259316349396695</v>
      </c>
      <c r="L109">
        <f t="shared" si="11"/>
        <v>0.95346216931436611</v>
      </c>
      <c r="M109">
        <f t="shared" si="11"/>
        <v>0.94441779018447669</v>
      </c>
      <c r="N109">
        <f t="shared" si="11"/>
        <v>0.9354592044887452</v>
      </c>
      <c r="O109">
        <f t="shared" si="11"/>
        <v>0.92658559840532295</v>
      </c>
      <c r="P109">
        <f t="shared" si="11"/>
        <v>0.91779616583213597</v>
      </c>
      <c r="Q109">
        <f>'Regional data'!J40</f>
        <v>0.90909010831365666</v>
      </c>
    </row>
    <row r="110" spans="1:17" x14ac:dyDescent="0.35">
      <c r="A110" t="s">
        <v>228</v>
      </c>
      <c r="G110">
        <v>1</v>
      </c>
      <c r="H110">
        <f t="shared" ref="H110:P110" si="12">G110*(($Q110/$G110)^(1/10))</f>
        <v>0.98331640239864648</v>
      </c>
      <c r="I110">
        <f t="shared" si="12"/>
        <v>0.96691114722621685</v>
      </c>
      <c r="J110">
        <f t="shared" si="12"/>
        <v>0.95077959072963159</v>
      </c>
      <c r="K110">
        <f t="shared" si="12"/>
        <v>0.93491716663031887</v>
      </c>
      <c r="L110">
        <f t="shared" si="12"/>
        <v>0.91931938483166109</v>
      </c>
      <c r="M110">
        <f t="shared" si="12"/>
        <v>0.90398183014800582</v>
      </c>
      <c r="N110">
        <f t="shared" si="12"/>
        <v>0.88890016105488134</v>
      </c>
      <c r="O110">
        <f t="shared" si="12"/>
        <v>0.87407010846006339</v>
      </c>
      <c r="P110">
        <f t="shared" si="12"/>
        <v>0.85948747449514429</v>
      </c>
      <c r="Q110">
        <f>'Regional data'!J42</f>
        <v>0.8451481313272633</v>
      </c>
    </row>
    <row r="113" spans="1:9" x14ac:dyDescent="0.35">
      <c r="A113" s="68" t="s">
        <v>256</v>
      </c>
      <c r="B113" s="68" t="s">
        <v>100</v>
      </c>
      <c r="C113" s="68" t="s">
        <v>232</v>
      </c>
      <c r="D113" s="101" t="s">
        <v>85</v>
      </c>
      <c r="E113" s="102" t="s">
        <v>101</v>
      </c>
      <c r="F113" s="102" t="s">
        <v>264</v>
      </c>
      <c r="H113" s="102" t="s">
        <v>263</v>
      </c>
    </row>
    <row r="114" spans="1:9" x14ac:dyDescent="0.35">
      <c r="A114" t="s">
        <v>257</v>
      </c>
      <c r="B114" s="79">
        <v>0</v>
      </c>
      <c r="C114" s="79">
        <v>1</v>
      </c>
      <c r="D114" s="103">
        <v>1</v>
      </c>
      <c r="E114" s="103">
        <v>1</v>
      </c>
      <c r="F114" s="103">
        <v>1</v>
      </c>
    </row>
    <row r="115" spans="1:9" x14ac:dyDescent="0.35">
      <c r="A115" t="s">
        <v>233</v>
      </c>
      <c r="B115" s="69">
        <v>207098.460000149</v>
      </c>
      <c r="C115" s="69">
        <v>1929336.0399982093</v>
      </c>
      <c r="D115" s="104">
        <v>2675437.3800380277</v>
      </c>
      <c r="E115" s="104">
        <v>3495848.5100174723</v>
      </c>
      <c r="F115" s="104">
        <f>G7-D115-C115</f>
        <v>14377339.479856407</v>
      </c>
    </row>
    <row r="116" spans="1:9" x14ac:dyDescent="0.35">
      <c r="A116" t="s">
        <v>234</v>
      </c>
      <c r="B116" s="81">
        <v>1.6593319684198273</v>
      </c>
      <c r="C116" s="72">
        <v>1.6593319684198273</v>
      </c>
      <c r="D116" s="105">
        <v>1.6593319684198273</v>
      </c>
      <c r="E116" s="105">
        <v>1.6593319684198273</v>
      </c>
      <c r="F116" s="105">
        <v>1.6593319684198273</v>
      </c>
    </row>
    <row r="117" spans="1:9" x14ac:dyDescent="0.35">
      <c r="A117" t="s">
        <v>235</v>
      </c>
      <c r="B117" s="81">
        <f>'77427 data'!F28</f>
        <v>1.7502269312397556</v>
      </c>
      <c r="C117" s="81">
        <f>'77427 data'!F26</f>
        <v>1.5432273436152899</v>
      </c>
      <c r="D117" s="106">
        <f>'77427 data'!F28</f>
        <v>1.7502269312397556</v>
      </c>
      <c r="E117" s="106">
        <f>'77427 data'!F29</f>
        <v>1.1494473461297119</v>
      </c>
      <c r="F117" s="105">
        <f>'77427 data'!F30</f>
        <v>1.64715197128838</v>
      </c>
    </row>
    <row r="118" spans="1:9" x14ac:dyDescent="0.35">
      <c r="B118" s="81"/>
      <c r="C118" s="81"/>
      <c r="D118" s="104"/>
      <c r="E118" s="104"/>
      <c r="F118" s="104"/>
    </row>
    <row r="119" spans="1:9" x14ac:dyDescent="0.35">
      <c r="A119" s="68" t="s">
        <v>255</v>
      </c>
      <c r="B119" s="82">
        <f>B114*B115*B116*B117</f>
        <v>0</v>
      </c>
      <c r="C119" s="82">
        <f>C114*C115*C116*C117</f>
        <v>4940501.8590460699</v>
      </c>
      <c r="D119" s="107">
        <f>D114*D115*D116*D117</f>
        <v>7770025.3021991998</v>
      </c>
      <c r="E119" s="107">
        <f>E114*E115*E116*E117</f>
        <v>6667683.3480847357</v>
      </c>
      <c r="F119" s="107">
        <f>F114*F115*F116*F117</f>
        <v>39295740.590972856</v>
      </c>
    </row>
    <row r="120" spans="1:9" x14ac:dyDescent="0.35">
      <c r="B120" s="82"/>
      <c r="C120" s="103">
        <v>0.15</v>
      </c>
      <c r="D120" s="103">
        <v>0.05</v>
      </c>
      <c r="E120" s="103"/>
      <c r="F120" s="103">
        <v>0</v>
      </c>
      <c r="G120" t="s">
        <v>114</v>
      </c>
    </row>
    <row r="121" spans="1:9" x14ac:dyDescent="0.35">
      <c r="B121" s="69"/>
      <c r="C121" s="103">
        <v>0.2</v>
      </c>
      <c r="D121" s="103">
        <v>0.1</v>
      </c>
      <c r="E121" s="103"/>
      <c r="F121" s="103">
        <v>0.03</v>
      </c>
      <c r="G121" t="s">
        <v>259</v>
      </c>
    </row>
    <row r="122" spans="1:9" x14ac:dyDescent="0.35">
      <c r="A122" t="s">
        <v>236</v>
      </c>
      <c r="B122" s="69">
        <v>215171</v>
      </c>
      <c r="C122" s="103">
        <v>0.25</v>
      </c>
      <c r="D122" s="103">
        <v>0.15</v>
      </c>
      <c r="E122" s="103"/>
      <c r="F122" s="103">
        <v>0.06</v>
      </c>
      <c r="G122" t="s">
        <v>116</v>
      </c>
    </row>
    <row r="123" spans="1:9" x14ac:dyDescent="0.35">
      <c r="A123" t="s">
        <v>237</v>
      </c>
      <c r="B123" s="69">
        <f>B122*B116</f>
        <v>357040.11897686269</v>
      </c>
    </row>
    <row r="124" spans="1:9" x14ac:dyDescent="0.35">
      <c r="A124" t="s">
        <v>238</v>
      </c>
      <c r="B124" s="69">
        <f>B123*'77427 data'!F29</f>
        <v>410398.81721979141</v>
      </c>
    </row>
    <row r="125" spans="1:9" x14ac:dyDescent="0.35">
      <c r="A125" t="s">
        <v>239</v>
      </c>
      <c r="B125">
        <v>20</v>
      </c>
      <c r="D125" s="108" t="s">
        <v>258</v>
      </c>
      <c r="E125" s="102">
        <v>0</v>
      </c>
      <c r="F125" s="102"/>
      <c r="G125" s="102"/>
      <c r="H125" s="102"/>
      <c r="I125" s="102"/>
    </row>
    <row r="126" spans="1:9" x14ac:dyDescent="0.35">
      <c r="A126" t="s">
        <v>240</v>
      </c>
      <c r="B126" s="69">
        <f>B124*B125</f>
        <v>8207976.3443958284</v>
      </c>
      <c r="D126" s="108" t="s">
        <v>260</v>
      </c>
      <c r="E126" s="109">
        <f>SUM(F126:I126)</f>
        <v>1129576.5439668703</v>
      </c>
      <c r="F126" s="109">
        <f t="shared" ref="F126:I128" si="13">(C120*C$119)</f>
        <v>741075.27885691042</v>
      </c>
      <c r="G126" s="109">
        <f t="shared" si="13"/>
        <v>388501.26510995999</v>
      </c>
      <c r="H126" s="109">
        <f t="shared" si="13"/>
        <v>0</v>
      </c>
      <c r="I126" s="109">
        <f t="shared" si="13"/>
        <v>0</v>
      </c>
    </row>
    <row r="127" spans="1:9" x14ac:dyDescent="0.35">
      <c r="D127" s="108" t="s">
        <v>261</v>
      </c>
      <c r="E127" s="109">
        <f>SUM(F127:I127)</f>
        <v>2943975.1197583196</v>
      </c>
      <c r="F127" s="109">
        <f t="shared" si="13"/>
        <v>988100.371809214</v>
      </c>
      <c r="G127" s="109">
        <f t="shared" si="13"/>
        <v>777002.53021991998</v>
      </c>
      <c r="H127" s="109">
        <f t="shared" si="13"/>
        <v>0</v>
      </c>
      <c r="I127" s="109">
        <f t="shared" si="13"/>
        <v>1178872.2177291857</v>
      </c>
    </row>
    <row r="128" spans="1:9" x14ac:dyDescent="0.35">
      <c r="D128" s="108" t="s">
        <v>262</v>
      </c>
      <c r="E128" s="109">
        <f>SUM(F128:I128)</f>
        <v>4758373.6955497693</v>
      </c>
      <c r="F128" s="109">
        <f t="shared" si="13"/>
        <v>1235125.4647615175</v>
      </c>
      <c r="G128" s="109">
        <f t="shared" si="13"/>
        <v>1165503.79532988</v>
      </c>
      <c r="H128" s="109">
        <f t="shared" si="13"/>
        <v>0</v>
      </c>
      <c r="I128" s="109">
        <f t="shared" si="13"/>
        <v>2357744.4354583714</v>
      </c>
    </row>
    <row r="130" spans="1:9" x14ac:dyDescent="0.35">
      <c r="F130" s="71">
        <f>F126/'Base Output Fx'!$AF$13</f>
        <v>63.390559461416132</v>
      </c>
      <c r="G130" s="71">
        <f>G126/'Base Output Fx'!$AF$13</f>
        <v>33.231863549375589</v>
      </c>
      <c r="H130" s="71">
        <f>H126/'Base Output Fx'!$AF$13</f>
        <v>0</v>
      </c>
      <c r="I130" s="71">
        <f>I126/'Base Output Fx'!$AF$13</f>
        <v>0</v>
      </c>
    </row>
    <row r="131" spans="1:9" x14ac:dyDescent="0.35">
      <c r="A131" s="101" t="s">
        <v>255</v>
      </c>
      <c r="F131" s="71">
        <f>F127/'Base Output Fx'!$AF$13</f>
        <v>84.520745948554847</v>
      </c>
      <c r="G131" s="71">
        <f>G127/'Base Output Fx'!$AF$13</f>
        <v>66.463727098751178</v>
      </c>
      <c r="H131" s="71">
        <f>H127/'Base Output Fx'!$AF$13</f>
        <v>0</v>
      </c>
      <c r="I131" s="71">
        <f>I127/'Base Output Fx'!$AF$13</f>
        <v>100.83910710210382</v>
      </c>
    </row>
    <row r="132" spans="1:9" x14ac:dyDescent="0.35">
      <c r="A132" t="s">
        <v>271</v>
      </c>
      <c r="B132" s="26">
        <v>976054</v>
      </c>
      <c r="F132" s="71">
        <f>F128/'Base Output Fx'!$AF$13</f>
        <v>105.65093243569356</v>
      </c>
      <c r="G132" s="71">
        <f>G128/'Base Output Fx'!$AF$13</f>
        <v>99.695590648126768</v>
      </c>
      <c r="H132" s="71">
        <f>H128/'Base Output Fx'!$AF$13</f>
        <v>0</v>
      </c>
      <c r="I132" s="71">
        <f>I128/'Base Output Fx'!$AF$13</f>
        <v>201.67821420420765</v>
      </c>
    </row>
    <row r="133" spans="1:9" x14ac:dyDescent="0.35">
      <c r="A133" t="s">
        <v>276</v>
      </c>
      <c r="B133" s="26">
        <f>7/12*365</f>
        <v>212.91666666666669</v>
      </c>
      <c r="F133" s="71"/>
      <c r="G133" s="71"/>
      <c r="H133" s="71"/>
      <c r="I133" s="71"/>
    </row>
    <row r="134" spans="1:9" x14ac:dyDescent="0.35">
      <c r="A134" t="s">
        <v>272</v>
      </c>
      <c r="B134" s="26">
        <f>(1-(B133/365))*B132</f>
        <v>406689.16666666663</v>
      </c>
      <c r="F134" s="71"/>
      <c r="G134" s="71"/>
      <c r="H134" s="71"/>
      <c r="I134" s="71"/>
    </row>
    <row r="135" spans="1:9" x14ac:dyDescent="0.35">
      <c r="A135" t="s">
        <v>237</v>
      </c>
      <c r="B135" s="26">
        <f>ROUND(B134*B116,0)</f>
        <v>674832</v>
      </c>
    </row>
    <row r="136" spans="1:9" x14ac:dyDescent="0.35">
      <c r="A136" t="s">
        <v>238</v>
      </c>
      <c r="B136" s="26">
        <f>ROUND(B135*'77427 data'!F31,0)</f>
        <v>1057452</v>
      </c>
      <c r="C136" t="s">
        <v>273</v>
      </c>
    </row>
    <row r="137" spans="1:9" x14ac:dyDescent="0.35">
      <c r="A137" t="s">
        <v>270</v>
      </c>
      <c r="B137">
        <v>30</v>
      </c>
    </row>
    <row r="138" spans="1:9" x14ac:dyDescent="0.35">
      <c r="A138" s="79"/>
      <c r="B138" s="26">
        <f>B136*B137*C138</f>
        <v>475853.39999999997</v>
      </c>
      <c r="C138" s="39">
        <v>1.4999999999999999E-2</v>
      </c>
      <c r="E138" s="26">
        <v>815147.02500000002</v>
      </c>
    </row>
    <row r="139" spans="1:9" x14ac:dyDescent="0.35">
      <c r="A139" s="79"/>
      <c r="B139" s="26">
        <f>B136*B137*C139</f>
        <v>951706.79999999993</v>
      </c>
      <c r="C139" s="39">
        <v>0.03</v>
      </c>
      <c r="E139" s="26">
        <v>1630294.05</v>
      </c>
    </row>
    <row r="140" spans="1:9" x14ac:dyDescent="0.35">
      <c r="B140" s="26">
        <f>B136*B137*C140</f>
        <v>1586178</v>
      </c>
      <c r="C140" s="39">
        <v>0.05</v>
      </c>
      <c r="E140" s="26">
        <v>2445441.0750000002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DD14-8B17-40D7-B1D4-AFB7CE4F6F30}">
  <sheetPr>
    <tabColor theme="5" tint="0.39997558519241921"/>
  </sheetPr>
  <dimension ref="A1:K54"/>
  <sheetViews>
    <sheetView topLeftCell="A30" zoomScale="120" zoomScaleNormal="120" workbookViewId="0">
      <selection sqref="A1:XFD1048576"/>
    </sheetView>
  </sheetViews>
  <sheetFormatPr defaultRowHeight="14.5" x14ac:dyDescent="0.35"/>
  <cols>
    <col min="1" max="1" width="32.54296875" customWidth="1"/>
    <col min="2" max="5" width="26.1796875" customWidth="1"/>
    <col min="6" max="11" width="26.1796875" style="64" customWidth="1"/>
  </cols>
  <sheetData>
    <row r="1" spans="1:11" ht="38.15" customHeight="1" x14ac:dyDescent="0.35">
      <c r="A1" s="22"/>
      <c r="B1" s="194" t="s">
        <v>127</v>
      </c>
      <c r="C1" s="194"/>
      <c r="D1" s="56"/>
      <c r="E1" s="56"/>
      <c r="F1" s="195" t="s">
        <v>77</v>
      </c>
      <c r="G1" s="195"/>
      <c r="H1" s="195"/>
      <c r="I1" s="195" t="s">
        <v>78</v>
      </c>
      <c r="J1" s="195"/>
      <c r="K1" s="195"/>
    </row>
    <row r="2" spans="1:11" ht="43.5" x14ac:dyDescent="0.35">
      <c r="A2" s="22"/>
      <c r="B2" s="57" t="s">
        <v>79</v>
      </c>
      <c r="C2" s="57" t="s">
        <v>152</v>
      </c>
      <c r="D2" s="57" t="s">
        <v>153</v>
      </c>
      <c r="E2" s="57" t="s">
        <v>80</v>
      </c>
      <c r="F2" s="56" t="s">
        <v>81</v>
      </c>
      <c r="G2" s="56" t="s">
        <v>82</v>
      </c>
      <c r="H2" s="56" t="s">
        <v>83</v>
      </c>
      <c r="I2" s="56" t="s">
        <v>81</v>
      </c>
      <c r="J2" s="56" t="s">
        <v>82</v>
      </c>
      <c r="K2" s="56" t="s">
        <v>83</v>
      </c>
    </row>
    <row r="3" spans="1:11" ht="46.5" customHeight="1" x14ac:dyDescent="0.35">
      <c r="A3" s="58" t="s">
        <v>242</v>
      </c>
      <c r="B3" s="57" t="s">
        <v>84</v>
      </c>
      <c r="C3" s="59">
        <v>3.92</v>
      </c>
      <c r="D3" s="60">
        <v>0.05</v>
      </c>
      <c r="E3" s="61">
        <f>C3/(1-D3)</f>
        <v>4.1263157894736846</v>
      </c>
      <c r="F3" s="62">
        <f>($D3+I3)/2</f>
        <v>0.32500000000000001</v>
      </c>
      <c r="G3" s="62">
        <f t="shared" ref="F3:H5" si="0">($D3+J3)/2</f>
        <v>0.4</v>
      </c>
      <c r="H3" s="62">
        <f t="shared" si="0"/>
        <v>0.47500000000000003</v>
      </c>
      <c r="I3" s="62">
        <v>0.6</v>
      </c>
      <c r="J3" s="62">
        <v>0.75</v>
      </c>
      <c r="K3" s="62">
        <v>0.9</v>
      </c>
    </row>
    <row r="4" spans="1:11" ht="46.5" customHeight="1" x14ac:dyDescent="0.35">
      <c r="A4" s="58" t="s">
        <v>85</v>
      </c>
      <c r="B4" s="57" t="s">
        <v>86</v>
      </c>
      <c r="C4" s="59">
        <v>6.46</v>
      </c>
      <c r="D4" s="60">
        <v>4.8000000000000001E-2</v>
      </c>
      <c r="E4" s="61">
        <f>C4/(1-D4)</f>
        <v>6.7857142857142856</v>
      </c>
      <c r="F4" s="62">
        <f t="shared" si="0"/>
        <v>0.14899999999999999</v>
      </c>
      <c r="G4" s="62">
        <f t="shared" si="0"/>
        <v>0.27400000000000002</v>
      </c>
      <c r="H4" s="62">
        <f t="shared" si="0"/>
        <v>0.39900000000000002</v>
      </c>
      <c r="I4" s="62">
        <v>0.25</v>
      </c>
      <c r="J4" s="62">
        <v>0.5</v>
      </c>
      <c r="K4" s="62">
        <v>0.75</v>
      </c>
    </row>
    <row r="5" spans="1:11" ht="46.5" customHeight="1" x14ac:dyDescent="0.35">
      <c r="A5" s="58" t="s">
        <v>87</v>
      </c>
      <c r="B5" s="57" t="s">
        <v>253</v>
      </c>
      <c r="C5" s="59">
        <v>2.29</v>
      </c>
      <c r="D5" s="60">
        <v>0.28899999999999998</v>
      </c>
      <c r="E5" s="61">
        <f>C5/(1-D5)</f>
        <v>3.2208157524613217</v>
      </c>
      <c r="F5" s="62">
        <f t="shared" si="0"/>
        <v>0.44450000000000001</v>
      </c>
      <c r="G5" s="62">
        <f>($D5+J5)/2</f>
        <v>0.51949999999999996</v>
      </c>
      <c r="H5" s="62">
        <f t="shared" si="0"/>
        <v>0.59450000000000003</v>
      </c>
      <c r="I5" s="62">
        <v>0.6</v>
      </c>
      <c r="J5" s="62">
        <v>0.75</v>
      </c>
      <c r="K5" s="62">
        <v>0.9</v>
      </c>
    </row>
    <row r="6" spans="1:11" ht="46.5" customHeight="1" x14ac:dyDescent="0.35">
      <c r="A6" s="58" t="s">
        <v>243</v>
      </c>
      <c r="B6" s="57" t="s">
        <v>246</v>
      </c>
      <c r="C6" s="59">
        <v>4.9400000000000004</v>
      </c>
      <c r="D6" s="60">
        <v>0.104</v>
      </c>
      <c r="E6" s="61">
        <f>C6/(1-D6)</f>
        <v>5.5133928571428577</v>
      </c>
      <c r="F6" s="62">
        <f>($D6+I6)/2</f>
        <v>0.152</v>
      </c>
      <c r="G6" s="62">
        <f>($D6+J6)/2</f>
        <v>0.30199999999999999</v>
      </c>
      <c r="H6" s="62">
        <f>($D6+K6)/2</f>
        <v>0.45200000000000001</v>
      </c>
      <c r="I6" s="62">
        <v>0.2</v>
      </c>
      <c r="J6" s="62">
        <v>0.5</v>
      </c>
      <c r="K6" s="62">
        <v>0.8</v>
      </c>
    </row>
    <row r="7" spans="1:11" s="64" customFormat="1" x14ac:dyDescent="0.35"/>
    <row r="8" spans="1:11" x14ac:dyDescent="0.35">
      <c r="A8" s="22" t="s">
        <v>88</v>
      </c>
      <c r="B8" s="22">
        <v>2019</v>
      </c>
      <c r="C8" s="57">
        <v>2025</v>
      </c>
      <c r="D8" s="63">
        <v>2030</v>
      </c>
      <c r="E8" s="64"/>
      <c r="F8" s="64" t="s">
        <v>126</v>
      </c>
    </row>
    <row r="9" spans="1:11" x14ac:dyDescent="0.35">
      <c r="A9" s="22" t="s">
        <v>89</v>
      </c>
      <c r="B9" s="65">
        <f>C3</f>
        <v>3.92</v>
      </c>
      <c r="C9" s="65">
        <f>D3  + (1-D3)*G3   +  (C3/(1-D3))*(1-G3)*(1-D3)</f>
        <v>2.7820000000000005</v>
      </c>
      <c r="D9" s="65">
        <f>D3  + (1-D3)*J3   +  (C3/(1-D3))*(1-J3)*(1-D3)</f>
        <v>1.7425000000000002</v>
      </c>
      <c r="F9" s="86">
        <f t="shared" ref="F9:K10" si="1">($D3  + (1-$D3)*F3   +  ($C3/(1-$D3))*(1-F3)*(1-$D3))/$B9</f>
        <v>0.76651785714285725</v>
      </c>
      <c r="G9" s="86">
        <f t="shared" si="1"/>
        <v>0.70969387755102054</v>
      </c>
      <c r="H9" s="86">
        <f t="shared" si="1"/>
        <v>0.6528698979591836</v>
      </c>
      <c r="I9" s="86">
        <f t="shared" si="1"/>
        <v>0.55816326530612248</v>
      </c>
      <c r="J9" s="86">
        <f t="shared" si="1"/>
        <v>0.44451530612244905</v>
      </c>
      <c r="K9" s="62">
        <f t="shared" si="1"/>
        <v>0.33086734693877551</v>
      </c>
    </row>
    <row r="10" spans="1:11" x14ac:dyDescent="0.35">
      <c r="A10" s="22" t="s">
        <v>85</v>
      </c>
      <c r="B10" s="65">
        <f>C4</f>
        <v>6.46</v>
      </c>
      <c r="C10" s="65">
        <f>D4  + (1-D4)*G4   +  (C4/(1-D4))*(1-G4)*(1-D4)</f>
        <v>4.9988080000000004</v>
      </c>
      <c r="D10" s="65">
        <f>D4  + (1-D4)*J4   +  (C4/(1-D4))*(1-J4)*(1-D4)</f>
        <v>3.754</v>
      </c>
      <c r="F10" s="86">
        <f t="shared" si="1"/>
        <v>0.88038823529411758</v>
      </c>
      <c r="G10" s="86">
        <f t="shared" si="1"/>
        <v>0.7738092879256967</v>
      </c>
      <c r="H10" s="86">
        <f t="shared" si="1"/>
        <v>0.66723034055727537</v>
      </c>
      <c r="I10" s="86">
        <f t="shared" si="1"/>
        <v>0.79427244582043333</v>
      </c>
      <c r="J10" s="86">
        <f t="shared" si="1"/>
        <v>0.58111455108359134</v>
      </c>
      <c r="K10" s="62">
        <f t="shared" si="1"/>
        <v>0.36795665634674918</v>
      </c>
    </row>
    <row r="11" spans="1:11" x14ac:dyDescent="0.35">
      <c r="A11" s="22" t="s">
        <v>87</v>
      </c>
      <c r="B11" s="65">
        <f>C5</f>
        <v>2.29</v>
      </c>
      <c r="C11" s="65">
        <f>D5  + (1-D5)*G5   +  (C5/(1-D5))*(1-G5)*(1-D5)</f>
        <v>1.7587095000000001</v>
      </c>
      <c r="D11" s="65">
        <f>D5  + (1-D5)*J5   +  (C5/(1-D5))*(1-J5)*(1-D5)</f>
        <v>1.3947499999999999</v>
      </c>
      <c r="F11" s="86">
        <f t="shared" ref="F11:H12" si="2">($D5  + (1-$D5)*F5   +  ($C5/(1-$D5))*(1-F5)*(1-$D5))/$B11</f>
        <v>0.81970938864628817</v>
      </c>
      <c r="G11" s="86">
        <f>($D5  + (1-$D5)*G5   +  ($C5/(1-$D5))*(1-G5)*(1-$D5))/$B11</f>
        <v>0.76799541484716161</v>
      </c>
      <c r="H11" s="86">
        <f t="shared" si="2"/>
        <v>0.71628144104803493</v>
      </c>
      <c r="I11" s="86">
        <f t="shared" ref="I11:K12" si="3">($D5  + (1-$D5)*I5   +  ($C5/(1-$D5))*(1-I5)*(1-$D5))/$B11</f>
        <v>0.71248908296943236</v>
      </c>
      <c r="J11" s="86">
        <f t="shared" si="3"/>
        <v>0.60906113537117901</v>
      </c>
      <c r="K11" s="62">
        <f t="shared" si="3"/>
        <v>0.50563318777292576</v>
      </c>
    </row>
    <row r="12" spans="1:11" x14ac:dyDescent="0.35">
      <c r="A12" s="22" t="s">
        <v>6</v>
      </c>
      <c r="B12" s="65">
        <f>C6</f>
        <v>4.9400000000000004</v>
      </c>
      <c r="C12" s="65">
        <f>D6  + (1-D6)*G6   +  (C6/(1-D6))*(1-G6)*(1-D6)</f>
        <v>3.8227119999999997</v>
      </c>
      <c r="D12" s="65">
        <f>D6  + (1-D6)*J6   +  (C6/(1-D6))*(1-J6)*(1-D6)</f>
        <v>3.0220000000000002</v>
      </c>
      <c r="F12" s="86">
        <f>($D6  + (1-$D6)*F6   +  ($C6/(1-$D6))*(1-F6)*(1-$D6))/$B12</f>
        <v>0.89662186234817809</v>
      </c>
      <c r="G12" s="86">
        <f>($D6  + (1-$D6)*G6   +  ($C6/(1-$D6))*(1-G6)*(1-$D6))/$B12</f>
        <v>0.77382834008097157</v>
      </c>
      <c r="H12" s="86">
        <f t="shared" si="2"/>
        <v>0.65103481781376527</v>
      </c>
      <c r="I12" s="86">
        <f t="shared" si="3"/>
        <v>0.85732793522267214</v>
      </c>
      <c r="J12" s="86">
        <f t="shared" si="3"/>
        <v>0.6117408906882591</v>
      </c>
      <c r="K12" s="62">
        <f t="shared" si="3"/>
        <v>0.36615384615384605</v>
      </c>
    </row>
    <row r="14" spans="1:11" x14ac:dyDescent="0.35">
      <c r="A14" s="22" t="s">
        <v>90</v>
      </c>
      <c r="B14" s="22">
        <v>2025</v>
      </c>
      <c r="C14" s="22">
        <v>2030</v>
      </c>
      <c r="H14" s="77"/>
    </row>
    <row r="15" spans="1:11" x14ac:dyDescent="0.35">
      <c r="A15" s="22" t="s">
        <v>89</v>
      </c>
      <c r="B15" s="66">
        <v>0.1</v>
      </c>
      <c r="C15" s="66">
        <v>0.2</v>
      </c>
      <c r="G15" s="58" t="s">
        <v>242</v>
      </c>
      <c r="H15" s="100">
        <f>$C3</f>
        <v>3.92</v>
      </c>
      <c r="I15" s="100">
        <f t="shared" ref="I15:K18" si="4">I9*$C3</f>
        <v>2.1880000000000002</v>
      </c>
      <c r="J15" s="100">
        <f t="shared" si="4"/>
        <v>1.7425000000000002</v>
      </c>
      <c r="K15" s="100">
        <f t="shared" si="4"/>
        <v>1.2969999999999999</v>
      </c>
    </row>
    <row r="16" spans="1:11" x14ac:dyDescent="0.35">
      <c r="A16" s="22" t="s">
        <v>91</v>
      </c>
      <c r="B16" s="66">
        <v>0.05</v>
      </c>
      <c r="C16" s="66">
        <v>0.1</v>
      </c>
      <c r="G16" s="58" t="s">
        <v>85</v>
      </c>
      <c r="H16" s="100">
        <f>$C4</f>
        <v>6.46</v>
      </c>
      <c r="I16" s="100">
        <f t="shared" si="4"/>
        <v>5.1309999999999993</v>
      </c>
      <c r="J16" s="100">
        <f t="shared" si="4"/>
        <v>3.754</v>
      </c>
      <c r="K16" s="100">
        <f t="shared" si="4"/>
        <v>2.3769999999999998</v>
      </c>
    </row>
    <row r="17" spans="1:11" x14ac:dyDescent="0.35">
      <c r="A17" s="22" t="s">
        <v>85</v>
      </c>
      <c r="B17" s="66" t="s">
        <v>92</v>
      </c>
      <c r="C17" s="66" t="s">
        <v>92</v>
      </c>
      <c r="G17" s="58" t="s">
        <v>87</v>
      </c>
      <c r="H17" s="100">
        <f>$C5</f>
        <v>2.29</v>
      </c>
      <c r="I17" s="100">
        <f t="shared" si="4"/>
        <v>1.6316000000000002</v>
      </c>
      <c r="J17" s="100">
        <f t="shared" si="4"/>
        <v>1.3947499999999999</v>
      </c>
      <c r="K17" s="100">
        <f t="shared" si="4"/>
        <v>1.1578999999999999</v>
      </c>
    </row>
    <row r="18" spans="1:11" x14ac:dyDescent="0.35">
      <c r="A18" s="22" t="s">
        <v>87</v>
      </c>
      <c r="B18" s="22" t="s">
        <v>92</v>
      </c>
      <c r="C18" s="22" t="s">
        <v>92</v>
      </c>
      <c r="G18" s="58" t="s">
        <v>243</v>
      </c>
      <c r="H18" s="100">
        <f>$C6</f>
        <v>4.9400000000000004</v>
      </c>
      <c r="I18" s="100">
        <f t="shared" si="4"/>
        <v>4.2352000000000007</v>
      </c>
      <c r="J18" s="100">
        <f t="shared" si="4"/>
        <v>3.0220000000000002</v>
      </c>
      <c r="K18" s="100">
        <f t="shared" si="4"/>
        <v>1.8087999999999997</v>
      </c>
    </row>
    <row r="19" spans="1:11" x14ac:dyDescent="0.35">
      <c r="A19" s="22" t="s">
        <v>93</v>
      </c>
      <c r="B19" s="22" t="s">
        <v>92</v>
      </c>
      <c r="C19" s="22" t="s">
        <v>92</v>
      </c>
      <c r="H19" s="78"/>
      <c r="I19" s="100">
        <f>$H18-I18</f>
        <v>0.70479999999999965</v>
      </c>
      <c r="J19" s="100">
        <f>$H18-J18</f>
        <v>1.9180000000000001</v>
      </c>
      <c r="K19" s="100">
        <f>$H18-K18</f>
        <v>3.1312000000000006</v>
      </c>
    </row>
    <row r="21" spans="1:11" x14ac:dyDescent="0.35">
      <c r="A21" s="67"/>
      <c r="B21" t="s">
        <v>128</v>
      </c>
      <c r="C21" t="s">
        <v>94</v>
      </c>
      <c r="D21" t="s">
        <v>95</v>
      </c>
    </row>
    <row r="22" spans="1:11" x14ac:dyDescent="0.35">
      <c r="A22" s="68" t="s">
        <v>129</v>
      </c>
      <c r="B22" s="69">
        <v>187054</v>
      </c>
      <c r="C22" s="69">
        <v>36974</v>
      </c>
      <c r="D22" s="70">
        <f>(B22+C22)/B22</f>
        <v>1.1976648454457002</v>
      </c>
    </row>
    <row r="23" spans="1:11" x14ac:dyDescent="0.35">
      <c r="A23" s="68" t="s">
        <v>130</v>
      </c>
      <c r="B23" s="69">
        <v>174473</v>
      </c>
      <c r="C23" s="69">
        <v>33805</v>
      </c>
      <c r="D23" s="70">
        <f>(B23+C23)/B23</f>
        <v>1.1937549076361385</v>
      </c>
    </row>
    <row r="25" spans="1:11" x14ac:dyDescent="0.35">
      <c r="A25" s="68" t="s">
        <v>96</v>
      </c>
      <c r="B25" t="s">
        <v>108</v>
      </c>
      <c r="C25" t="s">
        <v>97</v>
      </c>
      <c r="D25" t="s">
        <v>104</v>
      </c>
      <c r="E25" t="s">
        <v>105</v>
      </c>
      <c r="F25" t="s">
        <v>98</v>
      </c>
      <c r="G25" s="64" t="s">
        <v>254</v>
      </c>
    </row>
    <row r="26" spans="1:11" x14ac:dyDescent="0.35">
      <c r="A26" t="s">
        <v>99</v>
      </c>
      <c r="B26" s="69">
        <v>20332.490000000202</v>
      </c>
      <c r="C26" s="69">
        <v>6477.0200000004897</v>
      </c>
      <c r="D26" s="71"/>
      <c r="E26" s="69">
        <f t="shared" ref="E26:E31" si="5">C26*D$31</f>
        <v>11045.164531784554</v>
      </c>
      <c r="F26" s="70">
        <f t="shared" ref="F26:F31" si="6">(B26+E26)/B26</f>
        <v>1.5432273436152899</v>
      </c>
      <c r="G26" s="97">
        <f t="shared" ref="G26:G31" si="7">E26/(B26+E26)</f>
        <v>0.35200733441041893</v>
      </c>
    </row>
    <row r="27" spans="1:11" x14ac:dyDescent="0.35">
      <c r="A27" t="s">
        <v>100</v>
      </c>
      <c r="B27" s="69">
        <v>1209.3799999999985</v>
      </c>
      <c r="C27" s="69">
        <v>660.07000000000801</v>
      </c>
      <c r="E27" s="69">
        <f t="shared" si="5"/>
        <v>1125.6074170675045</v>
      </c>
      <c r="F27" s="70">
        <f t="shared" si="6"/>
        <v>1.9307309671629314</v>
      </c>
      <c r="G27" s="97">
        <f t="shared" si="7"/>
        <v>0.48206144874268669</v>
      </c>
    </row>
    <row r="28" spans="1:11" x14ac:dyDescent="0.35">
      <c r="A28" t="s">
        <v>85</v>
      </c>
      <c r="B28" s="69">
        <v>19617.960000000217</v>
      </c>
      <c r="C28" s="69">
        <v>8630.7700000009809</v>
      </c>
      <c r="E28" s="69">
        <f t="shared" si="5"/>
        <v>14717.921927984442</v>
      </c>
      <c r="F28" s="70">
        <f t="shared" si="6"/>
        <v>1.7502269312397556</v>
      </c>
      <c r="G28" s="97">
        <f t="shared" si="7"/>
        <v>0.42864551896041275</v>
      </c>
    </row>
    <row r="29" spans="1:11" x14ac:dyDescent="0.35">
      <c r="A29" t="s">
        <v>101</v>
      </c>
      <c r="B29" s="69">
        <v>17989.050000000101</v>
      </c>
      <c r="C29" s="69">
        <v>1576.52</v>
      </c>
      <c r="E29" s="69">
        <f t="shared" si="5"/>
        <v>2688.4157818947087</v>
      </c>
      <c r="F29" s="70">
        <f t="shared" si="6"/>
        <v>1.1494473461297119</v>
      </c>
      <c r="G29" s="97">
        <f t="shared" si="7"/>
        <v>0.13001669596516444</v>
      </c>
    </row>
    <row r="30" spans="1:11" x14ac:dyDescent="0.35">
      <c r="A30" t="s">
        <v>102</v>
      </c>
      <c r="B30" s="69">
        <f>B31-SUM(B26:B29)</f>
        <v>49391.030000000479</v>
      </c>
      <c r="C30" s="69">
        <v>18743.790000000579</v>
      </c>
      <c r="E30" s="69">
        <f t="shared" si="5"/>
        <v>31963.50242846382</v>
      </c>
      <c r="F30" s="70">
        <f t="shared" si="6"/>
        <v>1.64715197128838</v>
      </c>
      <c r="G30" s="97">
        <f t="shared" si="7"/>
        <v>0.39289147727042234</v>
      </c>
    </row>
    <row r="31" spans="1:11" s="64" customFormat="1" x14ac:dyDescent="0.35">
      <c r="A31" t="s">
        <v>103</v>
      </c>
      <c r="B31" s="69">
        <v>108539.91000000099</v>
      </c>
      <c r="C31" s="69">
        <v>36088.170000002057</v>
      </c>
      <c r="D31" s="72">
        <f>(B31*'Base Output Fx'!L25/('Base Output Fx'!L23+'Base Output Fx'!L24))/C31</f>
        <v>1.7052849198834832</v>
      </c>
      <c r="E31" s="69">
        <f t="shared" si="5"/>
        <v>61540.612087195033</v>
      </c>
      <c r="F31" s="70">
        <f t="shared" si="6"/>
        <v>1.566986024653922</v>
      </c>
      <c r="G31" s="97">
        <f t="shared" si="7"/>
        <v>0.36183221530590493</v>
      </c>
    </row>
    <row r="32" spans="1:11" x14ac:dyDescent="0.35">
      <c r="E32" s="74"/>
    </row>
    <row r="33" spans="1:11" s="64" customFormat="1" x14ac:dyDescent="0.35">
      <c r="A33" s="73" t="s">
        <v>106</v>
      </c>
      <c r="B33" s="69" t="s">
        <v>245</v>
      </c>
      <c r="C33" s="69" t="s">
        <v>24</v>
      </c>
      <c r="D33" s="72" t="s">
        <v>107</v>
      </c>
      <c r="E33" s="64" t="s">
        <v>9</v>
      </c>
      <c r="F33" s="64" t="s">
        <v>120</v>
      </c>
      <c r="G33" s="64" t="s">
        <v>122</v>
      </c>
      <c r="H33" s="64" t="s">
        <v>123</v>
      </c>
      <c r="I33" s="64" t="s">
        <v>121</v>
      </c>
      <c r="J33" s="64" t="s">
        <v>124</v>
      </c>
      <c r="K33" s="64" t="s">
        <v>125</v>
      </c>
    </row>
    <row r="34" spans="1:11" x14ac:dyDescent="0.35">
      <c r="A34" t="s">
        <v>99</v>
      </c>
      <c r="B34" s="83">
        <v>21421</v>
      </c>
      <c r="C34" s="26">
        <f>B34*(('Base Output Fx'!$H$15+'Base Output Fx'!$H$16)/'Base Output Fx'!$H$15)</f>
        <v>34050.372246624538</v>
      </c>
      <c r="D34" s="26">
        <f>C34*F26</f>
        <v>52547.46551127018</v>
      </c>
      <c r="E34" s="69">
        <f>D34*C3*E41</f>
        <v>694173.03839008359</v>
      </c>
      <c r="F34" s="76">
        <f t="shared" ref="F34:K34" si="8">$E34*(1-F9)</f>
        <v>162077.00851697032</v>
      </c>
      <c r="G34" s="76">
        <f t="shared" si="8"/>
        <v>201522.68308365173</v>
      </c>
      <c r="H34" s="76">
        <f t="shared" si="8"/>
        <v>240968.35765033329</v>
      </c>
      <c r="I34" s="76">
        <f t="shared" si="8"/>
        <v>306711.14859480225</v>
      </c>
      <c r="J34" s="76">
        <f t="shared" si="8"/>
        <v>385602.49772816501</v>
      </c>
      <c r="K34" s="76">
        <f t="shared" si="8"/>
        <v>464493.84686152788</v>
      </c>
    </row>
    <row r="35" spans="1:11" x14ac:dyDescent="0.35">
      <c r="A35" t="s">
        <v>100</v>
      </c>
      <c r="B35" s="83"/>
      <c r="C35" s="26">
        <f>B35*(('Base Output Fx'!$H$15+'Base Output Fx'!$H$16)/'Base Output Fx'!$H$15)</f>
        <v>0</v>
      </c>
      <c r="D35" s="26">
        <f>C35*F27</f>
        <v>0</v>
      </c>
      <c r="E35" s="69"/>
      <c r="F35" s="76"/>
    </row>
    <row r="36" spans="1:11" x14ac:dyDescent="0.35">
      <c r="A36" t="s">
        <v>85</v>
      </c>
      <c r="B36" s="83">
        <v>24381</v>
      </c>
      <c r="C36" s="26">
        <f>B36*(('Base Output Fx'!$H$15+'Base Output Fx'!$H$16)/'Base Output Fx'!$H$15)</f>
        <v>38755.526154005551</v>
      </c>
      <c r="D36" s="26">
        <f>C36*F28</f>
        <v>67830.965609107225</v>
      </c>
      <c r="E36" s="69">
        <f>D36*C4*E41</f>
        <v>1476693.6875033861</v>
      </c>
      <c r="F36" s="76">
        <f t="shared" ref="F36:K38" si="9">$E36*(1-F10)</f>
        <v>176629.93789231687</v>
      </c>
      <c r="G36" s="76">
        <f t="shared" si="9"/>
        <v>334014.3966920196</v>
      </c>
      <c r="H36" s="76">
        <f t="shared" si="9"/>
        <v>491398.85549172299</v>
      </c>
      <c r="I36" s="76">
        <f t="shared" si="9"/>
        <v>303796.58060247696</v>
      </c>
      <c r="J36" s="76">
        <f t="shared" si="9"/>
        <v>618565.49820188282</v>
      </c>
      <c r="K36" s="76">
        <f t="shared" si="9"/>
        <v>933334.41580128891</v>
      </c>
    </row>
    <row r="37" spans="1:11" x14ac:dyDescent="0.35">
      <c r="A37" t="s">
        <v>101</v>
      </c>
      <c r="B37" s="83">
        <v>24500</v>
      </c>
      <c r="C37" s="26">
        <f>B37*(('Base Output Fx'!$H$15+'Base Output Fx'!$H$16)/'Base Output Fx'!$H$15)</f>
        <v>38944.686057714447</v>
      </c>
      <c r="D37" s="26">
        <f>C37*F29</f>
        <v>44764.866034894665</v>
      </c>
      <c r="E37" s="69">
        <f>D37*C5*E41</f>
        <v>345463.90065109258</v>
      </c>
      <c r="F37" s="76">
        <f>$E37*(1-F11)</f>
        <v>62283.897849023444</v>
      </c>
      <c r="G37" s="76">
        <f>$E37*(1-G11)</f>
        <v>80149.208955838112</v>
      </c>
      <c r="H37" s="76">
        <f t="shared" si="9"/>
        <v>98014.520062652809</v>
      </c>
      <c r="I37" s="76">
        <f t="shared" si="9"/>
        <v>99324.642877152539</v>
      </c>
      <c r="J37" s="76">
        <f t="shared" si="9"/>
        <v>135055.26509078193</v>
      </c>
      <c r="K37" s="76">
        <f t="shared" si="9"/>
        <v>170785.88730441133</v>
      </c>
    </row>
    <row r="38" spans="1:11" x14ac:dyDescent="0.35">
      <c r="A38" t="s">
        <v>102</v>
      </c>
      <c r="B38" s="83">
        <v>58843</v>
      </c>
      <c r="C38" s="26">
        <f>B38*(('Base Output Fx'!$H$15+'Base Output Fx'!$H$16)/'Base Output Fx'!$H$15)</f>
        <v>93535.598436493528</v>
      </c>
      <c r="D38" s="26">
        <f>C38*F30</f>
        <v>154067.34535030863</v>
      </c>
      <c r="E38" s="69">
        <f>D38*C6*E41</f>
        <v>2564882.3519228683</v>
      </c>
      <c r="F38" s="76">
        <f>$E38*(1-F12)</f>
        <v>265152.76083781099</v>
      </c>
      <c r="G38" s="76">
        <f t="shared" si="9"/>
        <v>580103.69903141679</v>
      </c>
      <c r="H38" s="76">
        <f t="shared" si="9"/>
        <v>895054.63722502196</v>
      </c>
      <c r="I38" s="76">
        <f t="shared" si="9"/>
        <v>365937.06105976447</v>
      </c>
      <c r="J38" s="76">
        <f t="shared" si="9"/>
        <v>995838.93744697596</v>
      </c>
      <c r="K38" s="76">
        <f>$E38*(1-K12)</f>
        <v>1625740.8138341876</v>
      </c>
    </row>
    <row r="39" spans="1:11" x14ac:dyDescent="0.35">
      <c r="A39" t="s">
        <v>103</v>
      </c>
      <c r="B39" s="26"/>
      <c r="C39" s="26"/>
      <c r="D39" s="26"/>
    </row>
    <row r="41" spans="1:11" x14ac:dyDescent="0.35">
      <c r="B41" s="26"/>
      <c r="D41" t="s">
        <v>119</v>
      </c>
      <c r="E41">
        <v>3.37</v>
      </c>
    </row>
    <row r="42" spans="1:11" x14ac:dyDescent="0.35">
      <c r="B42" s="26"/>
    </row>
    <row r="43" spans="1:11" x14ac:dyDescent="0.35">
      <c r="B43" s="26"/>
    </row>
    <row r="44" spans="1:11" x14ac:dyDescent="0.35">
      <c r="B44" s="26"/>
    </row>
    <row r="45" spans="1:11" x14ac:dyDescent="0.35">
      <c r="B45" s="26"/>
    </row>
    <row r="49" spans="2:2" x14ac:dyDescent="0.35">
      <c r="B49" s="26"/>
    </row>
    <row r="50" spans="2:2" x14ac:dyDescent="0.35">
      <c r="B50" s="25"/>
    </row>
    <row r="51" spans="2:2" x14ac:dyDescent="0.35">
      <c r="B51" s="71"/>
    </row>
    <row r="52" spans="2:2" x14ac:dyDescent="0.35">
      <c r="B52" s="75"/>
    </row>
    <row r="53" spans="2:2" x14ac:dyDescent="0.35">
      <c r="B53" s="26"/>
    </row>
    <row r="54" spans="2:2" x14ac:dyDescent="0.35">
      <c r="B54" s="26"/>
    </row>
  </sheetData>
  <mergeCells count="3">
    <mergeCell ref="B1:C1"/>
    <mergeCell ref="F1:H1"/>
    <mergeCell ref="I1:K1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95EC-8C68-4E1B-9014-56203306EC84}">
  <sheetPr>
    <tabColor theme="5" tint="0.39997558519241921"/>
  </sheetPr>
  <dimension ref="A2:L13"/>
  <sheetViews>
    <sheetView zoomScale="80" zoomScaleNormal="80" workbookViewId="0">
      <selection sqref="A1:XFD1048576"/>
    </sheetView>
  </sheetViews>
  <sheetFormatPr defaultRowHeight="14.5" x14ac:dyDescent="0.35"/>
  <cols>
    <col min="1" max="1" width="64" customWidth="1"/>
  </cols>
  <sheetData>
    <row r="2" spans="1:12" ht="26" x14ac:dyDescent="0.35">
      <c r="B2" s="167" t="s">
        <v>41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26" x14ac:dyDescent="0.6">
      <c r="B3" s="5"/>
      <c r="C3" s="169" t="s">
        <v>9</v>
      </c>
      <c r="D3" s="170"/>
      <c r="E3" s="171"/>
      <c r="F3" s="171"/>
      <c r="G3" s="171"/>
      <c r="H3" s="171"/>
      <c r="I3" s="5"/>
      <c r="J3" s="169" t="s">
        <v>7</v>
      </c>
      <c r="K3" s="169"/>
      <c r="L3" s="170"/>
    </row>
    <row r="4" spans="1:12" x14ac:dyDescent="0.35">
      <c r="B4" s="2"/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/>
      <c r="J4" s="3">
        <v>2025</v>
      </c>
      <c r="K4" s="3"/>
      <c r="L4" s="3">
        <v>2030</v>
      </c>
    </row>
    <row r="5" spans="1:12" x14ac:dyDescent="0.35">
      <c r="B5" s="7" t="s">
        <v>0</v>
      </c>
      <c r="C5" s="19">
        <v>4424</v>
      </c>
      <c r="D5" s="19">
        <f>C5-C7+D6</f>
        <v>4503</v>
      </c>
      <c r="E5" s="19">
        <f>D5-D7+E6</f>
        <v>4608</v>
      </c>
      <c r="F5" s="19">
        <f>E5-E7+F6</f>
        <v>4649</v>
      </c>
      <c r="G5" s="19">
        <f>F5-F7+G6</f>
        <v>4691</v>
      </c>
      <c r="H5" s="19">
        <f>G5-G7+H6</f>
        <v>4718</v>
      </c>
      <c r="I5" s="9"/>
      <c r="J5" s="19">
        <f>H5-J7+J6</f>
        <v>4909</v>
      </c>
      <c r="K5" s="9"/>
      <c r="L5" s="19">
        <f>J5-L7+L6</f>
        <v>5057</v>
      </c>
    </row>
    <row r="6" spans="1:12" x14ac:dyDescent="0.35">
      <c r="B6" s="7" t="s">
        <v>1</v>
      </c>
      <c r="C6" s="8">
        <v>251</v>
      </c>
      <c r="D6" s="8">
        <v>226</v>
      </c>
      <c r="E6" s="8">
        <v>214</v>
      </c>
      <c r="F6" s="8">
        <v>191</v>
      </c>
      <c r="G6" s="8">
        <v>196</v>
      </c>
      <c r="H6" s="8">
        <v>223</v>
      </c>
      <c r="I6" s="9"/>
      <c r="J6" s="8">
        <f>187+203+194+209+190</f>
        <v>983</v>
      </c>
      <c r="K6" s="9"/>
      <c r="L6" s="8">
        <f>193+185+(189*3)</f>
        <v>945</v>
      </c>
    </row>
    <row r="7" spans="1:12" x14ac:dyDescent="0.35">
      <c r="B7" s="7" t="s">
        <v>2</v>
      </c>
      <c r="C7" s="8">
        <v>147</v>
      </c>
      <c r="D7" s="8">
        <v>109</v>
      </c>
      <c r="E7" s="8">
        <v>150</v>
      </c>
      <c r="F7" s="8">
        <v>154</v>
      </c>
      <c r="G7" s="8">
        <v>196</v>
      </c>
      <c r="H7" s="8" t="s">
        <v>3</v>
      </c>
      <c r="I7" s="9"/>
      <c r="J7" s="8">
        <f>IF('Base Output Fx'!$E26=$A9,B9,IF('Base Output Fx'!$E26=$A10,B10, IF('Base Output Fx'!$E26=$A11,B11, IF('Base Output Fx'!$E26=$A12,B12, IF('Base Output Fx'!$E26=$A13,B13,"")))))</f>
        <v>792</v>
      </c>
      <c r="K7" s="9"/>
      <c r="L7" s="8">
        <f>IF('Base Output Fx'!$E26=$A9,C9,IF('Base Output Fx'!$E26=$A10,C10, IF('Base Output Fx'!$E26=$A11,C11, IF('Base Output Fx'!$E26=$A12,C12, IF('Base Output Fx'!$E26=$A13,C13,"")))))</f>
        <v>797</v>
      </c>
    </row>
    <row r="8" spans="1:12" x14ac:dyDescent="0.35">
      <c r="G8">
        <f>G5/C5</f>
        <v>1.0603526220614827</v>
      </c>
      <c r="H8">
        <f>H5/C5</f>
        <v>1.0664556962025316</v>
      </c>
      <c r="J8">
        <f>J5/H5</f>
        <v>1.0404832556167867</v>
      </c>
      <c r="L8">
        <f>L5/J5</f>
        <v>1.030148706457527</v>
      </c>
    </row>
    <row r="9" spans="1:12" x14ac:dyDescent="0.35">
      <c r="A9" t="s">
        <v>72</v>
      </c>
      <c r="B9">
        <v>792</v>
      </c>
      <c r="C9">
        <v>797</v>
      </c>
      <c r="G9" s="26">
        <f>G5-C5</f>
        <v>267</v>
      </c>
      <c r="H9" s="26">
        <f>H5-C5</f>
        <v>294</v>
      </c>
    </row>
    <row r="10" spans="1:12" x14ac:dyDescent="0.35">
      <c r="A10" t="s">
        <v>73</v>
      </c>
      <c r="B10">
        <v>989</v>
      </c>
      <c r="C10">
        <v>893</v>
      </c>
    </row>
    <row r="11" spans="1:12" x14ac:dyDescent="0.35">
      <c r="A11" t="s">
        <v>74</v>
      </c>
      <c r="B11">
        <v>871</v>
      </c>
      <c r="C11">
        <v>840</v>
      </c>
    </row>
    <row r="12" spans="1:12" x14ac:dyDescent="0.35">
      <c r="A12" t="s">
        <v>75</v>
      </c>
      <c r="B12">
        <v>713</v>
      </c>
      <c r="C12">
        <v>747</v>
      </c>
    </row>
    <row r="13" spans="1:12" x14ac:dyDescent="0.35">
      <c r="A13" t="s">
        <v>76</v>
      </c>
      <c r="B13">
        <v>595</v>
      </c>
      <c r="C13">
        <v>660</v>
      </c>
    </row>
  </sheetData>
  <mergeCells count="3">
    <mergeCell ref="B2:L2"/>
    <mergeCell ref="C3:H3"/>
    <mergeCell ref="J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CA04-B523-4C0F-914A-D9B8A19B5005}">
  <sheetPr>
    <tabColor theme="5" tint="0.39997558519241921"/>
  </sheetPr>
  <dimension ref="A2:R21"/>
  <sheetViews>
    <sheetView workbookViewId="0">
      <selection sqref="A1:XFD1048576"/>
    </sheetView>
  </sheetViews>
  <sheetFormatPr defaultRowHeight="14.5" x14ac:dyDescent="0.35"/>
  <cols>
    <col min="1" max="1" width="55.453125" customWidth="1"/>
  </cols>
  <sheetData>
    <row r="2" spans="1:18" x14ac:dyDescent="0.35">
      <c r="A2" t="s">
        <v>33</v>
      </c>
      <c r="B2" s="26">
        <f>IF('Base Output Fx'!$D26=$A12,B12,IF('Base Output Fx'!$D26=$A13,B13, IF('Base Output Fx'!$D26=$A14,B14, IF('Base Output Fx'!$D26=$A15,B15, IF('Base Output Fx'!$D26=$A16,B16,"")))))</f>
        <v>9789.5982547883941</v>
      </c>
      <c r="C2" s="26">
        <f>IF('Base Output Fx'!$D26=$A12,C12,IF('Base Output Fx'!$D26=$A13,C13, IF('Base Output Fx'!$D26=$A14,C14, IF('Base Output Fx'!$D26=$A15,C15, IF('Base Output Fx'!$D26=$A16,C16,"")))))</f>
        <v>9801.0361174523405</v>
      </c>
      <c r="D2" s="26">
        <f>IF('Base Output Fx'!$D26=$A12,D12,IF('Base Output Fx'!$D26=$A13,D13, IF('Base Output Fx'!$D26=$A14,D14, IF('Base Output Fx'!$D26=$A15,D15, IF('Base Output Fx'!$D26=$A16,D16,"")))))</f>
        <v>9698.0350313784566</v>
      </c>
      <c r="E2" s="26">
        <f>IF('Base Output Fx'!$D26=$A12,E12,IF('Base Output Fx'!$D26=$A13,E13, IF('Base Output Fx'!$D26=$A14,E14, IF('Base Output Fx'!$D26=$A15,E15, IF('Base Output Fx'!$D26=$A16,E16,"")))))</f>
        <v>9804.5714545700066</v>
      </c>
      <c r="F2" s="26">
        <f>IF('Base Output Fx'!$D26=$A12,F12,IF('Base Output Fx'!$D26=$A13,F13, IF('Base Output Fx'!$D26=$A14,F14, IF('Base Output Fx'!$D26=$A15,F15, IF('Base Output Fx'!$D26=$A16,F16,"")))))</f>
        <v>10000</v>
      </c>
      <c r="G2" s="26">
        <f>IF('Base Output Fx'!$D26=$A12,G12,IF('Base Output Fx'!$D26=$A13,G13, IF('Base Output Fx'!$D26=$A14,G14, IF('Base Output Fx'!$D26=$A15,G15, IF('Base Output Fx'!$D26=$A16,G16,"")))))</f>
        <v>10143.014991994272</v>
      </c>
      <c r="H2" s="26">
        <f>IF('Base Output Fx'!$D26=$A12,H12,IF('Base Output Fx'!$D26=$A13,H13, IF('Base Output Fx'!$D26=$A14,H14, IF('Base Output Fx'!$D26=$A15,H15, IF('Base Output Fx'!$D26=$A16,H16,"")))))</f>
        <v>10288.075312782057</v>
      </c>
      <c r="I2" s="26">
        <f>IF('Base Output Fx'!$D26=$A12,I12,IF('Base Output Fx'!$D26=$A13,I13, IF('Base Output Fx'!$D26=$A14,I14, IF('Base Output Fx'!$D26=$A15,I15, IF('Base Output Fx'!$D26=$A16,I16,"")))))</f>
        <v>10435.210213631457</v>
      </c>
      <c r="J2" s="26">
        <f>IF('Base Output Fx'!$D26=$A12,J12,IF('Base Output Fx'!$D26=$A13,J13, IF('Base Output Fx'!$D26=$A14,J14, IF('Base Output Fx'!$D26=$A15,J15, IF('Base Output Fx'!$D26=$A16,J16,"")))))</f>
        <v>10584.449364147562</v>
      </c>
      <c r="K2" s="26">
        <f>IF('Base Output Fx'!$D26=$A12,K12,IF('Base Output Fx'!$D26=$A13,K13, IF('Base Output Fx'!$D26=$A14,K14, IF('Base Output Fx'!$D26=$A15,K15, IF('Base Output Fx'!$D26=$A16,K16,"")))))</f>
        <v>10735.822858255297</v>
      </c>
      <c r="L2" s="26">
        <f>IF('Base Output Fx'!$D26=$A12,L12,IF('Base Output Fx'!$D26=$A13,L13, IF('Base Output Fx'!$D26=$A14,L14, IF('Base Output Fx'!$D26=$A15,L15, IF('Base Output Fx'!$D26=$A16,L16,"")))))</f>
        <v>10889.361220267827</v>
      </c>
      <c r="M2" s="26">
        <f>IF('Base Output Fx'!$D26=$A12,M12,IF('Base Output Fx'!$D26=$A13,M13, IF('Base Output Fx'!$D26=$A14,M14, IF('Base Output Fx'!$D26=$A15,M15, IF('Base Output Fx'!$D26=$A16,M16,"")))))</f>
        <v>11045.095411041761</v>
      </c>
      <c r="N2" s="26">
        <f>IF('Base Output Fx'!$D26=$A12,N12,IF('Base Output Fx'!$D26=$A13,N13, IF('Base Output Fx'!$D26=$A14,N14, IF('Base Output Fx'!$D26=$A15,N15, IF('Base Output Fx'!$D26=$A16,N16,"")))))</f>
        <v>11203.056834220371</v>
      </c>
      <c r="O2" s="26">
        <f>IF('Base Output Fx'!$D26=$A12,O12,IF('Base Output Fx'!$D26=$A13,O13, IF('Base Output Fx'!$D26=$A14,O14, IF('Base Output Fx'!$D26=$A15,O15, IF('Base Output Fx'!$D26=$A16,O16,"")))))</f>
        <v>11363.277342566113</v>
      </c>
      <c r="P2" s="26">
        <f>IF('Base Output Fx'!$D26=$A12,P12,IF('Base Output Fx'!$D26=$A13,P13, IF('Base Output Fx'!$D26=$A14,P14, IF('Base Output Fx'!$D26=$A15,P15, IF('Base Output Fx'!$D26=$A16,P16,"")))))</f>
        <v>11525.789244383692</v>
      </c>
      <c r="Q2" s="26">
        <f>IF('Base Output Fx'!$D26=$A12,Q12,IF('Base Output Fx'!$D26=$A13,Q13, IF('Base Output Fx'!$D26=$A14,Q14, IF('Base Output Fx'!$D26=$A15,Q15, IF('Base Output Fx'!$D26=$A16,Q16,"")))))</f>
        <v>11690.625310035006</v>
      </c>
    </row>
    <row r="4" spans="1:18" x14ac:dyDescent="0.35">
      <c r="B4" s="15">
        <v>2015</v>
      </c>
      <c r="C4" s="15">
        <v>2016</v>
      </c>
      <c r="D4" s="15">
        <v>2017</v>
      </c>
      <c r="E4" s="15">
        <v>2018</v>
      </c>
      <c r="F4" s="15">
        <v>2019</v>
      </c>
      <c r="G4" s="16"/>
      <c r="H4" s="16"/>
      <c r="I4" s="17">
        <v>2025</v>
      </c>
      <c r="J4" s="16"/>
      <c r="K4" s="17">
        <v>2030</v>
      </c>
    </row>
    <row r="5" spans="1:18" x14ac:dyDescent="0.35">
      <c r="A5" t="s">
        <v>28</v>
      </c>
    </row>
    <row r="6" spans="1:18" x14ac:dyDescent="0.35">
      <c r="A6" t="s">
        <v>29</v>
      </c>
      <c r="B6" s="32">
        <f>'Base Output Fx'!D19</f>
        <v>9789.5982547883941</v>
      </c>
      <c r="C6" s="32">
        <f>'Base Output Fx'!E19</f>
        <v>9801.0361174523405</v>
      </c>
      <c r="D6" s="32">
        <f>'Base Output Fx'!F19</f>
        <v>9698.0350313784566</v>
      </c>
      <c r="E6" s="32">
        <f>'Base Output Fx'!G19</f>
        <v>9804.5714545700066</v>
      </c>
      <c r="F6" s="32">
        <f>'Base Output Fx'!H19</f>
        <v>10000</v>
      </c>
      <c r="H6" s="33">
        <f>(F6/B6)^(1/4)-1</f>
        <v>5.3303242913109727E-3</v>
      </c>
      <c r="I6" s="32">
        <f>F6*((1+H6)^6)</f>
        <v>10324.111721799347</v>
      </c>
      <c r="J6" s="32"/>
      <c r="K6" s="32">
        <f>I6*((1+H6)^5)</f>
        <v>10602.215040049787</v>
      </c>
    </row>
    <row r="7" spans="1:18" x14ac:dyDescent="0.35">
      <c r="A7" t="s">
        <v>31</v>
      </c>
    </row>
    <row r="8" spans="1:18" x14ac:dyDescent="0.35">
      <c r="A8" t="s">
        <v>32</v>
      </c>
    </row>
    <row r="9" spans="1:18" x14ac:dyDescent="0.35">
      <c r="A9" t="s">
        <v>30</v>
      </c>
    </row>
    <row r="11" spans="1:18" x14ac:dyDescent="0.35">
      <c r="A11" s="22"/>
      <c r="B11" s="22">
        <v>2015</v>
      </c>
      <c r="C11" s="22">
        <v>2016</v>
      </c>
      <c r="D11" s="22">
        <v>2017</v>
      </c>
      <c r="E11" s="22">
        <v>2018</v>
      </c>
      <c r="F11" s="22">
        <v>2019</v>
      </c>
      <c r="G11" s="22">
        <v>2020</v>
      </c>
      <c r="H11" s="22">
        <v>2021</v>
      </c>
      <c r="I11" s="22">
        <v>2022</v>
      </c>
      <c r="J11" s="22">
        <v>2023</v>
      </c>
      <c r="K11" s="22">
        <v>2024</v>
      </c>
      <c r="L11" s="22">
        <v>2025</v>
      </c>
      <c r="M11" s="22">
        <v>2026</v>
      </c>
      <c r="N11" s="22">
        <v>2027</v>
      </c>
      <c r="O11" s="22">
        <v>2028</v>
      </c>
      <c r="P11" s="22">
        <v>2029</v>
      </c>
      <c r="Q11" s="22">
        <v>2030</v>
      </c>
    </row>
    <row r="12" spans="1:18" x14ac:dyDescent="0.35">
      <c r="A12" s="22" t="s">
        <v>36</v>
      </c>
      <c r="B12" s="23">
        <f>'Base Output Fx'!H22</f>
        <v>10000</v>
      </c>
      <c r="C12" s="23">
        <f>B12</f>
        <v>10000</v>
      </c>
      <c r="D12" s="23">
        <f t="shared" ref="D12:Q12" si="0">C12</f>
        <v>10000</v>
      </c>
      <c r="E12" s="23">
        <f t="shared" si="0"/>
        <v>10000</v>
      </c>
      <c r="F12" s="23">
        <f t="shared" si="0"/>
        <v>10000</v>
      </c>
      <c r="G12" s="23">
        <f t="shared" si="0"/>
        <v>10000</v>
      </c>
      <c r="H12" s="23">
        <f t="shared" si="0"/>
        <v>10000</v>
      </c>
      <c r="I12" s="23">
        <f t="shared" si="0"/>
        <v>10000</v>
      </c>
      <c r="J12" s="23">
        <f t="shared" si="0"/>
        <v>10000</v>
      </c>
      <c r="K12" s="23">
        <f t="shared" si="0"/>
        <v>10000</v>
      </c>
      <c r="L12" s="23">
        <f t="shared" si="0"/>
        <v>10000</v>
      </c>
      <c r="M12" s="23">
        <f t="shared" si="0"/>
        <v>10000</v>
      </c>
      <c r="N12" s="23">
        <f t="shared" si="0"/>
        <v>10000</v>
      </c>
      <c r="O12" s="23">
        <f t="shared" si="0"/>
        <v>10000</v>
      </c>
      <c r="P12" s="23">
        <f t="shared" si="0"/>
        <v>10000</v>
      </c>
      <c r="Q12" s="23">
        <f t="shared" si="0"/>
        <v>10000</v>
      </c>
    </row>
    <row r="13" spans="1:18" x14ac:dyDescent="0.35">
      <c r="A13" s="22" t="s">
        <v>37</v>
      </c>
      <c r="B13" s="110">
        <f>B6</f>
        <v>9789.5982547883941</v>
      </c>
      <c r="C13" s="110">
        <f>C6</f>
        <v>9801.0361174523405</v>
      </c>
      <c r="D13" s="110">
        <f>D6</f>
        <v>9698.0350313784566</v>
      </c>
      <c r="E13" s="110">
        <f>E6</f>
        <v>9804.5714545700066</v>
      </c>
      <c r="F13" s="110">
        <f>F6</f>
        <v>10000</v>
      </c>
      <c r="G13" s="110">
        <f>F13*(1+$H6)</f>
        <v>10053.303242913109</v>
      </c>
      <c r="H13" s="110">
        <f>G13*(1+$H6)</f>
        <v>10106.890609396723</v>
      </c>
      <c r="I13" s="110">
        <f>H13*(1+$H6)</f>
        <v>10160.763613921614</v>
      </c>
      <c r="J13" s="110">
        <f>I13*(1+$H6)</f>
        <v>10214.923779031169</v>
      </c>
      <c r="K13" s="110">
        <f>J13*(1+$H6)</f>
        <v>10269.372635384429</v>
      </c>
      <c r="L13" s="110">
        <f>I6</f>
        <v>10324.111721799347</v>
      </c>
      <c r="M13" s="110">
        <f>L13*(1+$H6)</f>
        <v>10379.142585296262</v>
      </c>
      <c r="N13" s="110">
        <f>M13*(1+$H6)</f>
        <v>10434.466781141648</v>
      </c>
      <c r="O13" s="110">
        <f>N13*(1+$H6)</f>
        <v>10490.085872892045</v>
      </c>
      <c r="P13" s="110">
        <f>O13*(1+$H6)</f>
        <v>10546.001432438259</v>
      </c>
      <c r="Q13" s="110">
        <f>K6</f>
        <v>10602.215040049787</v>
      </c>
    </row>
    <row r="14" spans="1:18" x14ac:dyDescent="0.35">
      <c r="A14" s="22" t="s">
        <v>61</v>
      </c>
      <c r="B14" s="110">
        <f>B13</f>
        <v>9789.5982547883941</v>
      </c>
      <c r="C14" s="110">
        <f>C13</f>
        <v>9801.0361174523405</v>
      </c>
      <c r="D14" s="110">
        <f>D13</f>
        <v>9698.0350313784566</v>
      </c>
      <c r="E14" s="110">
        <f>E13</f>
        <v>9804.5714545700066</v>
      </c>
      <c r="F14" s="110">
        <f>F13</f>
        <v>10000</v>
      </c>
      <c r="G14" s="110">
        <f>F14*(1+$R14)</f>
        <v>10305.303992062076</v>
      </c>
      <c r="H14" s="110">
        <f t="shared" ref="H14:P14" si="1">G14*(1+$R14)</f>
        <v>10619.929036881056</v>
      </c>
      <c r="I14" s="110">
        <f t="shared" si="1"/>
        <v>10944.159709918631</v>
      </c>
      <c r="J14" s="110">
        <f t="shared" si="1"/>
        <v>11278.28927483894</v>
      </c>
      <c r="K14" s="110">
        <f t="shared" si="1"/>
        <v>11622.619948762862</v>
      </c>
      <c r="L14" s="110">
        <f t="shared" si="1"/>
        <v>11977.463175620624</v>
      </c>
      <c r="M14" s="110">
        <f t="shared" si="1"/>
        <v>12343.139907849973</v>
      </c>
      <c r="N14" s="110">
        <f t="shared" si="1"/>
        <v>12719.980896694704</v>
      </c>
      <c r="O14" s="110">
        <f t="shared" si="1"/>
        <v>13108.326991366128</v>
      </c>
      <c r="P14" s="110">
        <f t="shared" si="1"/>
        <v>13508.529447338042</v>
      </c>
      <c r="Q14" s="110">
        <f>'Regional data'!G28*Q13</f>
        <v>13920.950244054096</v>
      </c>
      <c r="R14">
        <f>(Q14/F14)^(1/11)-1</f>
        <v>3.0530399206207592E-2</v>
      </c>
    </row>
    <row r="15" spans="1:18" x14ac:dyDescent="0.35">
      <c r="A15" s="22" t="s">
        <v>62</v>
      </c>
      <c r="B15" s="110">
        <f>B13</f>
        <v>9789.5982547883941</v>
      </c>
      <c r="C15" s="110">
        <f>C13</f>
        <v>9801.0361174523405</v>
      </c>
      <c r="D15" s="110">
        <f>D13</f>
        <v>9698.0350313784566</v>
      </c>
      <c r="E15" s="110">
        <f>E13</f>
        <v>9804.5714545700066</v>
      </c>
      <c r="F15" s="110">
        <f>F13</f>
        <v>10000</v>
      </c>
      <c r="G15" s="110">
        <f>F15*(1+$R15)</f>
        <v>10143.014991994272</v>
      </c>
      <c r="H15" s="110">
        <f t="shared" ref="H15:P15" si="2">G15*(1+$R15)</f>
        <v>10288.075312782057</v>
      </c>
      <c r="I15" s="110">
        <f t="shared" si="2"/>
        <v>10435.210213631457</v>
      </c>
      <c r="J15" s="110">
        <f>I15*(1+$R15)</f>
        <v>10584.449364147562</v>
      </c>
      <c r="K15" s="110">
        <f t="shared" si="2"/>
        <v>10735.822858255297</v>
      </c>
      <c r="L15" s="110">
        <f t="shared" si="2"/>
        <v>10889.361220267827</v>
      </c>
      <c r="M15" s="110">
        <f t="shared" si="2"/>
        <v>11045.095411041761</v>
      </c>
      <c r="N15" s="110">
        <f t="shared" si="2"/>
        <v>11203.056834220371</v>
      </c>
      <c r="O15" s="110">
        <f t="shared" si="2"/>
        <v>11363.277342566113</v>
      </c>
      <c r="P15" s="110">
        <f t="shared" si="2"/>
        <v>11525.789244383692</v>
      </c>
      <c r="Q15" s="110">
        <f>'Base Output Fx'!H22*'Regional data'!G29</f>
        <v>11690.625310035006</v>
      </c>
      <c r="R15">
        <f>(Q15/F15)^(1/11)-1</f>
        <v>1.4301499199427248E-2</v>
      </c>
    </row>
    <row r="16" spans="1:18" x14ac:dyDescent="0.35">
      <c r="A16" s="22" t="s">
        <v>35</v>
      </c>
      <c r="B16" s="23">
        <f>B6</f>
        <v>9789.5982547883941</v>
      </c>
      <c r="C16" s="23">
        <f t="shared" ref="C16:F16" si="3">C6</f>
        <v>9801.0361174523405</v>
      </c>
      <c r="D16" s="23">
        <f t="shared" si="3"/>
        <v>9698.0350313784566</v>
      </c>
      <c r="E16" s="23">
        <f t="shared" si="3"/>
        <v>9804.5714545700066</v>
      </c>
      <c r="F16" s="23">
        <f t="shared" si="3"/>
        <v>10000</v>
      </c>
      <c r="G16" s="110">
        <f>F16*(1+$R16)</f>
        <v>9843.4416153410511</v>
      </c>
      <c r="H16" s="110">
        <f t="shared" ref="H16:P16" si="4">G16*(1+$R16)</f>
        <v>9689.3342834628038</v>
      </c>
      <c r="I16" s="110">
        <f t="shared" si="4"/>
        <v>9537.6396310788532</v>
      </c>
      <c r="J16" s="110">
        <f t="shared" si="4"/>
        <v>9388.319885668765</v>
      </c>
      <c r="K16" s="110">
        <f t="shared" si="4"/>
        <v>9241.3378660725866</v>
      </c>
      <c r="L16" s="110">
        <f t="shared" si="4"/>
        <v>9096.656973232597</v>
      </c>
      <c r="M16" s="110">
        <f t="shared" si="4"/>
        <v>8954.2411810800113</v>
      </c>
      <c r="N16" s="110">
        <f t="shared" si="4"/>
        <v>8814.0550275643582</v>
      </c>
      <c r="O16" s="110">
        <f t="shared" si="4"/>
        <v>8676.0636058233013</v>
      </c>
      <c r="P16" s="110">
        <f t="shared" si="4"/>
        <v>8540.232555490702</v>
      </c>
      <c r="Q16" s="110">
        <f>'Base Output Fx'!H22*'Regional data'!G30</f>
        <v>8406.5280541407556</v>
      </c>
      <c r="R16">
        <f>(Q16/F16)^(1/11)-1</f>
        <v>-1.5655838465894911E-2</v>
      </c>
    </row>
    <row r="20" spans="1:1" x14ac:dyDescent="0.35">
      <c r="A20" s="95"/>
    </row>
    <row r="21" spans="1:1" x14ac:dyDescent="0.35">
      <c r="A21" s="32"/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5B7C0F228D84098F9266C6B1672F3" ma:contentTypeVersion="2" ma:contentTypeDescription="Create a new document." ma:contentTypeScope="" ma:versionID="3438a65abe0a351c89cb014656a98293">
  <xsd:schema xmlns:xsd="http://www.w3.org/2001/XMLSchema" xmlns:xs="http://www.w3.org/2001/XMLSchema" xmlns:p="http://schemas.microsoft.com/office/2006/metadata/properties" xmlns:ns2="99733b3a-e109-4da3-89d1-43521d2066a5" targetNamespace="http://schemas.microsoft.com/office/2006/metadata/properties" ma:root="true" ma:fieldsID="14eaa2cb3cb983f65cfadce276156568" ns2:_="">
    <xsd:import namespace="99733b3a-e109-4da3-89d1-43521d206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33b3a-e109-4da3-89d1-43521d206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7D2A51-8358-49B1-B22C-A171EB815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26550-31BA-483E-AD7C-DF985EFE1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33b3a-e109-4da3-89d1-43521d206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51E4C-687D-4059-9D98-B3834865D9D6}">
  <ds:schemaRefs>
    <ds:schemaRef ds:uri="http://purl.org/dc/dcmitype/"/>
    <ds:schemaRef ds:uri="http://purl.org/dc/elements/1.1/"/>
    <ds:schemaRef ds:uri="99733b3a-e109-4da3-89d1-43521d206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Summary</vt:lpstr>
      <vt:lpstr>Live Output Detail</vt:lpstr>
      <vt:lpstr>Balanced Output Detail</vt:lpstr>
      <vt:lpstr>Base &gt;&gt;</vt:lpstr>
      <vt:lpstr>Base Output Fx</vt:lpstr>
      <vt:lpstr>Demand scenarios</vt:lpstr>
      <vt:lpstr>77427 data</vt:lpstr>
      <vt:lpstr>RO Exit Scenarios</vt:lpstr>
      <vt:lpstr>RVU scenarios</vt:lpstr>
      <vt:lpstr>Dropdowns</vt:lpstr>
      <vt:lpstr>Regional data</vt:lpstr>
      <vt:lpstr>Region Adjust</vt:lpstr>
      <vt:lpstr>Public source data</vt:lpstr>
      <vt:lpstr>Live &gt;&gt;</vt:lpstr>
      <vt:lpstr>Live Output Fx</vt:lpstr>
      <vt:lpstr>Demand Scenarios (L)</vt:lpstr>
      <vt:lpstr>77427 data (L)</vt:lpstr>
      <vt:lpstr>RO Exit Scenarios (L)</vt:lpstr>
      <vt:lpstr>RVU scenarios (L)</vt:lpstr>
      <vt:lpstr>Dropdowns (L)</vt:lpstr>
      <vt:lpstr>Regional data (L)</vt:lpstr>
      <vt:lpstr>Region adjust (L)</vt:lpstr>
      <vt:lpstr>Public source data (L)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Vachon</dc:creator>
  <cp:lastModifiedBy>Greg Vachon</cp:lastModifiedBy>
  <dcterms:created xsi:type="dcterms:W3CDTF">2022-11-20T16:41:06Z</dcterms:created>
  <dcterms:modified xsi:type="dcterms:W3CDTF">2023-01-18T16:36:47Z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0x0101009415B7C0F228D84098F9266C6B1672F3</vt:lpwstr>
  </property>
</Properties>
</file>